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9.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Inputs" sheetId="2" state="visible" r:id="rId4"/>
    <sheet name="Starting Balance Sheet" sheetId="3" state="visible" r:id="rId5"/>
    <sheet name="Revenue Forecast" sheetId="4" state="visible" r:id="rId6"/>
    <sheet name="Expense Forecast" sheetId="5" state="visible" r:id="rId7"/>
    <sheet name="Income Statement" sheetId="6" state="visible" r:id="rId8"/>
    <sheet name="Cash Flow Statement" sheetId="7" state="visible" r:id="rId9"/>
    <sheet name="Scenario Comparison" sheetId="8" state="visible" r:id="rId10"/>
    <sheet name="Dashboard" sheetId="9" state="visible" r:id="rId11"/>
  </sheets>
  <definedNames>
    <definedName function="false" hidden="false" localSheetId="6" name="_xlnm.Print_Area" vbProcedure="false">'Cash Flow Statement'!$A$1:$N$56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<sst xmlns="http://schemas.openxmlformats.org/spreadsheetml/2006/main" count="409" uniqueCount="249">
  <si>
    <t xml:space="preserve">PRO FORMA FORECASTING TOOL</t>
  </si>
  <si>
    <t xml:space="preserve">Miami Valley SBDC  —  Ohio Small Business Development Centers</t>
  </si>
  <si>
    <t xml:space="preserve">How this workbook works</t>
  </si>
  <si>
    <t xml:space="preserve">This tool builds a 3-year (36-month) pro forma forecast — Revenue, Expenses, Income Statement, and Cash Flow — from a single set of assumptions, with seasonality and a Best/Likely/Worst scenario comparison built in. Change a number on the Inputs tab, and every other tab recalculates automatically.</t>
  </si>
  <si>
    <t xml:space="preserve">Where to start</t>
  </si>
  <si>
    <t xml:space="preserve">1.  Go to the Inputs tab. Fill in every yellow cell — including the 12 seasonality multipliers and the loan-vs-equity split — with your best, realistic numbers. The numbers already there are sample figures for an example business; replace them with your own.</t>
  </si>
  <si>
    <t xml:space="preserve">2.  Check Starting Balance Sheet — your Day 1 financial position. It should always balance to $0 difference.</t>
  </si>
  <si>
    <t xml:space="preserve">3.  Review Revenue Forecast and Expense Forecast — 36 months, built automatically from your inputs.</t>
  </si>
  <si>
    <t xml:space="preserve">4.  Check Income Statement for projected profit or loss each month and each year.</t>
  </si>
  <si>
    <t xml:space="preserve">5.  Check Cash Flow Statement — this determines whether you survive. Watch the Ending Cash Balance row across all 3 years.</t>
  </si>
  <si>
    <t xml:space="preserve">6.  Check Scenario Comparison to see Best Case / Most Likely / Worst Case side by side.</t>
  </si>
  <si>
    <t xml:space="preserve">7.  Check Dashboard for a one-page summary across the full 3 years.</t>
  </si>
  <si>
    <t xml:space="preserve">Color legend</t>
  </si>
  <si>
    <t xml:space="preserve">Blue text — A number you type in — your assumption.</t>
  </si>
  <si>
    <t xml:space="preserve">   Yellow fill — A key input cell. Start here.</t>
  </si>
  <si>
    <t xml:space="preserve">Black text — A formula. Do not overtype — it calculates automatically.</t>
  </si>
  <si>
    <t xml:space="preserve">Green text — A link pulling a number from another tab.</t>
  </si>
  <si>
    <t xml:space="preserve">How seasonality works</t>
  </si>
  <si>
    <t xml:space="preserve">Instead of every month growing at the same flat rate, this model separates two effects: overall year-over-year growth (one number) and the month-to-month rhythm of your business (12 numbers, one per calendar month). A seasonality value of 1.0 means “average.” A value of 1.4 means that month typically runs 40% above average; 0.7 means 30% below. The 12 values should average to roughly 1.0 so your “Starting Monthly Volume” input stays meaningful as a true average month.</t>
  </si>
  <si>
    <t xml:space="preserve">How the starting balance sheet works</t>
  </si>
  <si>
    <t xml:space="preserve">This snapshot shows your financial position on Day 1, before any sales happen. Startup costs are treated as capitalized assets (equipment, buildout) rather than an immediate expense, and your Month 1 financing is split into a loan (debt) portion and an equity portion using the Inputs tab. Assets will always equal Liabilities plus Owner's Equity — if the Balance Check ever shows a number other than $0, double-check your Inputs.</t>
  </si>
  <si>
    <t xml:space="preserve">How the scenario comparison works</t>
  </si>
  <si>
    <t xml:space="preserve">Rather than building three entire separate models, Best Case and Worst Case are defined as simple percentage adjustments to your Most Likely revenue and expenses (set on the Inputs tab). This mirrors how the stress-test exercise works in the workshop: same plan, different assumptions about how it goes. The Scenario Comparison tab shows Year 1/2/3 and 3-year totals for all three cases side by side. Ending cash by scenario is an approximation built from the Most Likely cash flow timing — for exact monthly cash flow under a specific scenario, adjust the Inputs tab directly and re-read the Cash Flow Statement tab.</t>
  </si>
  <si>
    <t xml:space="preserve">Other assumptions built into this model</t>
  </si>
  <si>
    <t xml:space="preserve">•  Collection timing: revenue is collected in cash based on your Collection Timing inputs (within 30 days, 31–60 days, or 61+ days) — not necessarily the same month it's earned.</t>
  </si>
  <si>
    <t xml:space="preserve">•  Fixed costs increase each year by your Annual Fixed Cost Inflation input (e.g., rent increases).</t>
  </si>
  <si>
    <t xml:space="preserve">•  Variable costs are a flat percentage of revenue, constant across all 3 years.</t>
  </si>
  <si>
    <t xml:space="preserve">•  Startup costs and Month 1 financing proceeds land in Month 1 of Year 1 only.</t>
  </si>
  <si>
    <t xml:space="preserve">This tool is a starting point for planning — not a substitute for advice from an SBDC advisor, accountant, or lender. Want a free, confidential review of your numbers? Request one-on-one advising from the Miami Valley SBDC at sbdcec.com or call 937-210-9460, and bring this workbook to your session.</t>
  </si>
  <si>
    <t xml:space="preserve">INPUTS &amp; ASSUMPTIONS</t>
  </si>
  <si>
    <t xml:space="preserve">Edit only the yellow cells below. Every other tab in this workbook recalculates automatically.</t>
  </si>
  <si>
    <t xml:space="preserve">REVENUE ASSUMPTIONS</t>
  </si>
  <si>
    <t xml:space="preserve">Price per Unit or Customer ($)</t>
  </si>
  <si>
    <t xml:space="preserve">Starting Monthly Volume — average month (units/customers)</t>
  </si>
  <si>
    <t xml:space="preserve">Annual Volume Growth Rate (Year over Year, %)</t>
  </si>
  <si>
    <t xml:space="preserve">COLLECTION TIMING (HOW QUICKLY YOU GET PAID)</t>
  </si>
  <si>
    <t xml:space="preserve">What share of each month's revenue is actually collected in cash within 30 days, 31–60 days, or 61+ days. These three should add up to 100%.</t>
  </si>
  <si>
    <t xml:space="preserve">Collected Within 30 Days (%)</t>
  </si>
  <si>
    <t xml:space="preserve">Collected in 31–60 Days (%)</t>
  </si>
  <si>
    <t xml:space="preserve">Collected in 61+ Days (%)</t>
  </si>
  <si>
    <t xml:space="preserve">Total (should be 100%)</t>
  </si>
  <si>
    <t xml:space="preserve">SEASONALITY (RELATIVE DEMAND BY MONTH)</t>
  </si>
  <si>
    <t xml:space="preserve">1.0 = an average month. These 12 values repeat every year and should average to about 1.0.</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</si>
  <si>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</si>
  <si>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</si>
  <si>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</si>
  <si>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</si>
  <si>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</si>
  <si>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</si>
  <si>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</si>
  <si>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</si>
  <si>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</si>
  <si>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</si>
  <si>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</si>
  <si>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</si>
  <si>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(should be close to 1.00)</t>
  </si>
  <si>
    <t xml:space="preserve">STARTUP COSTS (USE OF FUNDS, MONTH 1 OF YEAR 1)</t>
  </si>
  <si>
    <t xml:space="preserve">Fixed Assets (equipment, buildout, renovations) ($)</t>
  </si>
  <si>
    <t xml:space="preserve">Operating Capital / Working Capital Reserve ($)</t>
  </si>
  <si>
    <t xml:space="preserve">Total Startup Costs (Fixed Assets + Operating Capital)</t>
  </si>
  <si>
    <t xml:space="preserve">Fixed Assets are capitalized as equipment on the Starting Balance Sheet and count as a Month 1 cash outflow. Operating Capital is a cash cushion — it stays as cash and is drawn down gradually through your normal monthly expenses.</t>
  </si>
  <si>
    <t xml:space="preserve">CASH &amp; FINANCING</t>
  </si>
  <si>
    <t xml:space="preserve">Starting Cash on Hand ($)</t>
  </si>
  <si>
    <t xml:space="preserve">Loan / Investment Proceeds Received in Month 1 ($)</t>
  </si>
  <si>
    <t xml:space="preserve">  of which: Loan (Debt) Portion ($)</t>
  </si>
  <si>
    <t xml:space="preserve">The remainder of the financing above is treated as equity (owner or outside investor capital) for the Starting Balance Sheet tab.</t>
  </si>
  <si>
    <t xml:space="preserve">Annual Interest Rate on Loan (%)</t>
  </si>
  <si>
    <t xml:space="preserve">Loan Term (months)</t>
  </si>
  <si>
    <t xml:space="preserve">FIXED COSTS (MONTHLY, YEAR 1 BASE)</t>
  </si>
  <si>
    <t xml:space="preserve">Rent</t>
  </si>
  <si>
    <t xml:space="preserve">Insurance</t>
  </si>
  <si>
    <t xml:space="preserve">Salaries / Owner Draw</t>
  </si>
  <si>
    <t xml:space="preserve">Loan Payment (Principal + Interest, calculated)</t>
  </si>
  <si>
    <t xml:space="preserve">Other Fixed Costs</t>
  </si>
  <si>
    <t xml:space="preserve">Total Fixed Costs per Month (Year 1)</t>
  </si>
  <si>
    <t xml:space="preserve">Annual Fixed Cost Inflation (%)</t>
  </si>
  <si>
    <t xml:space="preserve">VARIABLE COSTS (% OF REVENUE)</t>
  </si>
  <si>
    <t xml:space="preserve">Cost of Goods / Materials (%)</t>
  </si>
  <si>
    <t xml:space="preserve">Payment Processing Fees (%)</t>
  </si>
  <si>
    <t xml:space="preserve">Other Variable Costs (%)</t>
  </si>
  <si>
    <t xml:space="preserve">Total Variable Cost (% of Revenue)</t>
  </si>
  <si>
    <t xml:space="preserve">SCENARIO ADJUSTMENTS (VS. MOST LIKELY)</t>
  </si>
  <si>
    <t xml:space="preserve">Used on the Scenario Comparison tab only. A positive expense adjustment means costs run higher than planned; negative means lower.</t>
  </si>
  <si>
    <t xml:space="preserve">Best Case</t>
  </si>
  <si>
    <t xml:space="preserve">  Revenue Adjustment (%)</t>
  </si>
  <si>
    <t xml:space="preserve">  Expense Adjustment (%)</t>
  </si>
  <si>
    <t xml:space="preserve">Worst Case</t>
  </si>
  <si>
    <t xml:space="preserve">Note: revenue is collected in cash based on your Collection Timing inputs above, not necessarily the month it's earned. Fixed Assets and Month 1 financing land entirely in Month 1 of Year 1, and variable cost percentages stay constant across all 3 years. Seasonality repeats identically each year — overtype any individual month's Volume cell on the Revenue Forecast tab for one-off changes.</t>
  </si>
  <si>
    <t xml:space="preserve">BREAKEVEN ANALYSIS (YEAR 1 BASE)</t>
  </si>
  <si>
    <t xml:space="preserve">How many units — and how much in sales — you need each month just to cover your Year 1 fixed costs. Based on your price, variable cost %, and fixed costs above; it will shift in Years 2–3 as fixed costs inflate.</t>
  </si>
  <si>
    <t xml:space="preserve">Contribution Margin per Unit ($)</t>
  </si>
  <si>
    <t xml:space="preserve">Contribution Margin (%)</t>
  </si>
  <si>
    <t xml:space="preserve">Breakeven Volume (units / month)</t>
  </si>
  <si>
    <t xml:space="preserve">Breakeven Sales ($ / month)</t>
  </si>
  <si>
    <t xml:space="preserve">STARTING BALANCE SHEET (DAY 1)</t>
  </si>
  <si>
    <t xml:space="preserve">Your business's financial position on Day 1, before any operations — built automatically from the Inputs tab. Assets must equal Liabilities plus Owner's Equity.</t>
  </si>
  <si>
    <t xml:space="preserve">ASSETS</t>
  </si>
  <si>
    <t xml:space="preserve">Cash on Hand</t>
  </si>
  <si>
    <t xml:space="preserve">Equipment &amp; Fixed Assets</t>
  </si>
  <si>
    <t xml:space="preserve">TOTAL ASSETS</t>
  </si>
  <si>
    <t xml:space="preserve">LIABILITIES</t>
  </si>
  <si>
    <t xml:space="preserve">Loan Payable (Debt)</t>
  </si>
  <si>
    <t xml:space="preserve">TOTAL LIABILITIES</t>
  </si>
  <si>
    <t xml:space="preserve">OWNER'S EQUITY</t>
  </si>
  <si>
    <t xml:space="preserve">Owner's Cash Contribution</t>
  </si>
  <si>
    <t xml:space="preserve">Investor / Additional Equity Contribution</t>
  </si>
  <si>
    <t xml:space="preserve">Retained Earnings (Day 1)</t>
  </si>
  <si>
    <t xml:space="preserve">TOTAL OWNER'S EQUITY</t>
  </si>
  <si>
    <t xml:space="preserve">BALANCE CHECK</t>
  </si>
  <si>
    <t xml:space="preserve">Total Liabilities + Owner's Equity</t>
  </si>
  <si>
    <t xml:space="preserve">Difference (should be $0)</t>
  </si>
  <si>
    <t xml:space="preserve">This model treats all Month 1 startup costs as capitalized assets (equipment, buildout, initial setup) rather than an immediate expense, and splits your Month 1 financing into a loan (debt) portion and an equity portion based on the Inputs tab. Retained Earnings starts at $0 because the business hasn't operated yet — it will grow (or shrink) as Net Income accumulates; see the Income Statement tab.</t>
  </si>
  <si>
    <t xml:space="preserve">REVENUE FORECAST (3-YEAR, SEASONAL)</t>
  </si>
  <si>
    <t xml:space="preserve">Built automatically from Revenue Assumptions and Seasonality on the Inputs tab.</t>
  </si>
  <si>
    <t xml:space="preserve">M1</t>
  </si>
  <si>
    <t xml:space="preserve">M2</t>
  </si>
  <si>
    <t xml:space="preserve">M3</t>
  </si>
  <si>
    <t xml:space="preserve">M4</t>
  </si>
  <si>
    <t xml:space="preserve">M5</t>
  </si>
  <si>
    <t xml:space="preserve">M6</t>
  </si>
  <si>
    <t xml:space="preserve">M7</t>
  </si>
  <si>
    <t xml:space="preserve">M8</t>
  </si>
  <si>
    <t xml:space="preserve">M9</t>
  </si>
  <si>
    <t xml:space="preserve">M10</t>
  </si>
  <si>
    <t xml:space="preserve">M11</t>
  </si>
  <si>
    <t xml:space="preserve">M12</t>
  </si>
  <si>
    <t xml:space="preserve">Year 1</t>
  </si>
  <si>
    <t xml:space="preserve">M13</t>
  </si>
  <si>
    <t xml:space="preserve">M14</t>
  </si>
  <si>
    <t xml:space="preserve">M15</t>
  </si>
  <si>
    <t xml:space="preserve">M16</t>
  </si>
  <si>
    <t xml:space="preserve">M17</t>
  </si>
  <si>
    <t xml:space="preserve">M18</t>
  </si>
  <si>
    <t xml:space="preserve">M19</t>
  </si>
  <si>
    <t xml:space="preserve">M20</t>
  </si>
  <si>
    <t xml:space="preserve">M21</t>
  </si>
  <si>
    <t xml:space="preserve">M22</t>
  </si>
  <si>
    <t xml:space="preserve">M23</t>
  </si>
  <si>
    <t xml:space="preserve">M24</t>
  </si>
  <si>
    <t xml:space="preserve">Year 2</t>
  </si>
  <si>
    <t xml:space="preserve">M25</t>
  </si>
  <si>
    <t xml:space="preserve">M26</t>
  </si>
  <si>
    <t xml:space="preserve">M27</t>
  </si>
  <si>
    <t xml:space="preserve">M28</t>
  </si>
  <si>
    <t xml:space="preserve">M29</t>
  </si>
  <si>
    <t xml:space="preserve">M30</t>
  </si>
  <si>
    <t xml:space="preserve">M31</t>
  </si>
  <si>
    <t xml:space="preserve">M32</t>
  </si>
  <si>
    <t xml:space="preserve">M33</t>
  </si>
  <si>
    <t xml:space="preserve">M34</t>
  </si>
  <si>
    <t xml:space="preserve">M35</t>
  </si>
  <si>
    <t xml:space="preserve">M36</t>
  </si>
  <si>
    <t xml:space="preserve">Year 3</t>
  </si>
  <si>
    <t xml:space="preserve">3-Yr Total</t>
  </si>
  <si>
    <t xml:space="preserve">Calendar Month</t>
  </si>
  <si>
    <t xml:space="preserve">Seasonality Index</t>
  </si>
  <si>
    <t xml:space="preserve">Volume (units / customers)</t>
  </si>
  <si>
    <t xml:space="preserve">Price per Unit ($)</t>
  </si>
  <si>
    <t xml:space="preserve">Revenue ($)</t>
  </si>
  <si>
    <t xml:space="preserve">To model a one-off change, overtype any month's Volume cell directly — that month will stop following the formula, which is fine.</t>
  </si>
  <si>
    <t xml:space="preserve">EXPENSE FORECAST (3-YEAR)</t>
  </si>
  <si>
    <t xml:space="preserve">Fixed costs increase each year by your inflation assumption. Variable costs scale with the Revenue Forecast.</t>
  </si>
  <si>
    <t xml:space="preserve">Fixed Costs ($)</t>
  </si>
  <si>
    <t xml:space="preserve">Variable Costs ($)</t>
  </si>
  <si>
    <t xml:space="preserve">Total Expenses ($)</t>
  </si>
  <si>
    <t xml:space="preserve">INCOME STATEMENT (PRO FORMA)</t>
  </si>
  <si>
    <t xml:space="preserve">Year 1 shown month by month; Years 2 and 3 shown as annual totals. Shows profitability — not cash in the bank (see Cash Flow Statement).</t>
  </si>
  <si>
    <t xml:space="preserve">Revenue</t>
  </si>
  <si>
    <t xml:space="preserve">Variable Costs (COGS)</t>
  </si>
  <si>
    <t xml:space="preserve">Gross Profit</t>
  </si>
  <si>
    <t xml:space="preserve">Fixed Operating Expenses</t>
  </si>
  <si>
    <t xml:space="preserve">Net Income</t>
  </si>
  <si>
    <t xml:space="preserve">COMMON-SIZE INCOME STATEMENT (% OF REVENUE)</t>
  </si>
  <si>
    <t xml:space="preserve">Revenue (%)</t>
  </si>
  <si>
    <t xml:space="preserve">Variable Costs (COGS) (%)</t>
  </si>
  <si>
    <t xml:space="preserve">Gross Profit (%)</t>
  </si>
  <si>
    <t xml:space="preserve">Fixed Operating Expenses (%)</t>
  </si>
  <si>
    <t xml:space="preserve">Net Income / Net Margin (%)</t>
  </si>
  <si>
    <t xml:space="preserve">Profitable? (helper: 1 = yes)</t>
  </si>
  <si>
    <t xml:space="preserve">CASH FLOW STATEMENT (PRO FORMA, 3-YEAR)</t>
  </si>
  <si>
    <t xml:space="preserve">The most important tab in this workbook. Each year is stacked below the last so it's easy to read — watch Ending Cash Balance in every block.</t>
  </si>
  <si>
    <t xml:space="preserve">YEAR 1</t>
  </si>
  <si>
    <t xml:space="preserve">Year 1 Total</t>
  </si>
  <si>
    <t xml:space="preserve">Beginning Cash Balance</t>
  </si>
  <si>
    <t xml:space="preserve">Cash In:</t>
  </si>
  <si>
    <t xml:space="preserve">Revenue Collected</t>
  </si>
  <si>
    <t xml:space="preserve">Loan / Investment Proceeds</t>
  </si>
  <si>
    <t xml:space="preserve">Total Cash In</t>
  </si>
  <si>
    <t xml:space="preserve">Cash Out:</t>
  </si>
  <si>
    <t xml:space="preserve">Fixed Asset Purchases</t>
  </si>
  <si>
    <t xml:space="preserve">Fixed Costs</t>
  </si>
  <si>
    <t xml:space="preserve">Variable Costs</t>
  </si>
  <si>
    <t xml:space="preserve">Total Cash Out</t>
  </si>
  <si>
    <t xml:space="preserve">Net Cash Flow</t>
  </si>
  <si>
    <t xml:space="preserve">Ending Cash Balance</t>
  </si>
  <si>
    <t xml:space="preserve">YEAR 2</t>
  </si>
  <si>
    <t xml:space="preserve">Year 2 Total</t>
  </si>
  <si>
    <t xml:space="preserve">YEAR 3</t>
  </si>
  <si>
    <t xml:space="preserve">Year 3 Total</t>
  </si>
  <si>
    <t xml:space="preserve">3-YEAR SUMMARY</t>
  </si>
  <si>
    <t xml:space="preserve">Starting Cash (Beginning of Year 1)</t>
  </si>
  <si>
    <t xml:space="preserve">Total Cash In (3 Years)</t>
  </si>
  <si>
    <t xml:space="preserve">Total Cash Out (3 Years)</t>
  </si>
  <si>
    <t xml:space="preserve">Net Cash Flow (3 Years)</t>
  </si>
  <si>
    <t xml:space="preserve">Ending Cash (End of Year 3)</t>
  </si>
  <si>
    <t xml:space="preserve">If Ending Cash Balance ever turns red in any year, that's the month you need financing, a cost cut, or a faster sales ramp — identified before it happens.</t>
  </si>
  <si>
    <t xml:space="preserve">All 36 Months — Ending Cash (for the Dashboard chart only)</t>
  </si>
  <si>
    <t xml:space="preserve">SCENARIO COMPARISON</t>
  </si>
  <si>
    <t xml:space="preserve">Best Case and Worst Case apply the Scenario Adjustments on the Inputs tab to the Most Likely forecast. See Instructions for how this approximation works.</t>
  </si>
  <si>
    <t xml:space="preserve">WORST CASE</t>
  </si>
  <si>
    <t xml:space="preserve">MOST LIKELY</t>
  </si>
  <si>
    <t xml:space="preserve">BEST CASE</t>
  </si>
  <si>
    <t xml:space="preserve">REVENUE</t>
  </si>
  <si>
    <t xml:space="preserve">Year 1 Revenue</t>
  </si>
  <si>
    <t xml:space="preserve">Year 2 Revenue</t>
  </si>
  <si>
    <t xml:space="preserve">Year 3 Revenue</t>
  </si>
  <si>
    <t xml:space="preserve">3-Year Total Revenue</t>
  </si>
  <si>
    <t xml:space="preserve">EXPENSES</t>
  </si>
  <si>
    <t xml:space="preserve">Year 1 Expenses</t>
  </si>
  <si>
    <t xml:space="preserve">Year 2 Expenses</t>
  </si>
  <si>
    <t xml:space="preserve">Year 3 Expenses</t>
  </si>
  <si>
    <t xml:space="preserve">3-Year Total Expenses</t>
  </si>
  <si>
    <t xml:space="preserve">NET INCOME</t>
  </si>
  <si>
    <t xml:space="preserve">Year 1 Net Income</t>
  </si>
  <si>
    <t xml:space="preserve">Year 2 Net Income</t>
  </si>
  <si>
    <t xml:space="preserve">Year 3 Net Income</t>
  </si>
  <si>
    <t xml:space="preserve">3-Year Total Net Income</t>
  </si>
  <si>
    <t xml:space="preserve">CASH POSITION (APPROXIMATE)</t>
  </si>
  <si>
    <t xml:space="preserve">Ending Cash — End of Year 3</t>
  </si>
  <si>
    <t xml:space="preserve">Ending Cash by scenario is approximated as: Most Likely ending cash, adjusted by the difference in 3-year Net Income between that scenario and Most Likely. It assumes the same cash-timing pattern as the Most Likely case — for an exact monthly cash flow under Best or Worst assumptions, change the Inputs tab directly.</t>
  </si>
  <si>
    <t xml:space="preserve">DASHBOARD</t>
  </si>
  <si>
    <t xml:space="preserve">A one-page summary of the Most Likely case across all 3 years. Everything here updates automatically from your Inputs.</t>
  </si>
  <si>
    <t xml:space="preserve">CASH POSITION</t>
  </si>
  <si>
    <t xml:space="preserve">Starting Cash</t>
  </si>
  <si>
    <t xml:space="preserve">3-Year Net Income</t>
  </si>
  <si>
    <t xml:space="preserve">Lowest Monthly Cash Balance</t>
  </si>
  <si>
    <t xml:space="preserve">3-Year Net Margin</t>
  </si>
  <si>
    <t xml:space="preserve">Month of Lowest Cash</t>
  </si>
  <si>
    <t xml:space="preserve">BREAK-EVEN</t>
  </si>
  <si>
    <t xml:space="preserve">CASH RUNWAY (IF REVENUE STOPPED TODAY)</t>
  </si>
  <si>
    <t xml:space="preserve">First Profitable Period</t>
  </si>
  <si>
    <t xml:space="preserve">Months of Runway (Month 1 burn rate)</t>
  </si>
  <si>
    <t xml:space="preserve">Breakeven Volume (units/month)</t>
  </si>
  <si>
    <t xml:space="preserve">Breakeven Sales ($/month)</t>
  </si>
  <si>
    <t xml:space="preserve">SCENARIO SNAPSHOT (3-YEAR NET INCOME)</t>
  </si>
  <si>
    <t xml:space="preserve">Most Likely</t>
  </si>
  <si>
    <t xml:space="preserve">See the Scenario Comparison tab for the full Best/Likely/Worst breakdown by year.</t>
  </si>
  <si>
    <t xml:space="preserve">Runway uses your starting cash and Month 1 ongoing costs (excluding one-time startup costs) as a rough “what if sales stopped” stress check — not your actual forecasted runway, which is shown in the Cash Flow Statement tab.</t>
  </si>
  <si>
    <t xml:space="preserve">Charts above show Year 1 (Months 1–12) for readability. See the Cash Flow Statement and Income Statement tabs for the full 36-month detail.</t>
  </si>
</sst>
</file>

<file path=xl/styles.xml><?xml version="1.0" encoding="utf-8"?>
<styleSheet xmlns="http://schemas.openxmlformats.org/spreadsheetml/2006/main">
  <numFmts count="13">
    <numFmt numFmtId="164" formatCode="General"/>
    <numFmt numFmtId="165" formatCode="\$#,##0;&quot;($&quot;#,##0\)"/>
    <numFmt numFmtId="166" formatCode="#,##0;\(#,##0\)"/>
    <numFmt numFmtId="167" formatCode="0.0%"/>
    <numFmt numFmtId="168" formatCode="0.00"/>
    <numFmt numFmtId="169" formatCode="0"/>
    <numFmt numFmtId="170" formatCode="\$#,##0.00"/>
    <numFmt numFmtId="171" formatCode="#,##0"/>
    <numFmt numFmtId="172" formatCode="\$#,##0"/>
    <numFmt numFmtId="173" formatCode="\$#,##0;&quot;($&quot;#,##0\);\-"/>
    <numFmt numFmtId="174" formatCode="@"/>
    <numFmt numFmtId="175" formatCode="0.0"/>
    <numFmt numFmtId="176" formatCode="\$#,##0"/>
  </numFmts>
  <fonts count="26">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b val="true"/>
      <sz val="13"/>
      <color rgb="FF0E3F75"/>
      <name val="Calibri"/>
      <family val="0"/>
      <charset val="1"/>
    </font>
    <font>
      <sz val="11"/>
      <color rgb="FF000000"/>
      <name val="Calibri"/>
      <family val="0"/>
      <charset val="1"/>
    </font>
    <font>
      <b val="true"/>
      <sz val="12"/>
      <color rgb="FF0E3F75"/>
      <name val="Calibri"/>
      <family val="0"/>
      <charset val="1"/>
    </font>
    <font>
      <sz val="11"/>
      <color rgb="FF0000FF"/>
      <name val="Calibri"/>
      <family val="0"/>
      <charset val="1"/>
    </font>
    <font>
      <sz val="11"/>
      <name val="Calibri"/>
      <family val="0"/>
      <charset val="1"/>
    </font>
    <font>
      <sz val="11"/>
      <color rgb="FF008000"/>
      <name val="Calibri"/>
      <family val="0"/>
      <charset val="1"/>
    </font>
    <font>
      <sz val="10"/>
      <color rgb="FF5A6E85"/>
      <name val="Calibri"/>
      <family val="0"/>
      <charset val="1"/>
    </font>
    <font>
      <i val="true"/>
      <sz val="10"/>
      <color rgb="FF5A6E85"/>
      <name val="Calibri"/>
      <family val="0"/>
      <charset val="1"/>
    </font>
    <font>
      <b val="true"/>
      <sz val="12"/>
      <color rgb="FFFFFFFF"/>
      <name val="Calibri"/>
      <family val="0"/>
      <charset val="1"/>
    </font>
    <font>
      <b val="true"/>
      <sz val="11"/>
      <color rgb="FF000000"/>
      <name val="Calibri"/>
      <family val="0"/>
      <charset val="1"/>
    </font>
    <font>
      <b val="true"/>
      <sz val="11"/>
      <color rgb="FF0098D3"/>
      <name val="Calibri"/>
      <family val="0"/>
      <charset val="1"/>
    </font>
    <font>
      <b val="true"/>
      <sz val="11"/>
      <color rgb="FFC12637"/>
      <name val="Calibri"/>
      <family val="0"/>
      <charset val="1"/>
    </font>
    <font>
      <b val="true"/>
      <sz val="10"/>
      <color rgb="FFFFFFFF"/>
      <name val="Calibri"/>
      <family val="0"/>
      <charset val="1"/>
    </font>
    <font>
      <b val="true"/>
      <sz val="11"/>
      <color rgb="FFFFFFFF"/>
      <name val="Calibri"/>
      <family val="0"/>
      <charset val="1"/>
    </font>
    <font>
      <b val="true"/>
      <sz val="13"/>
      <color rgb="FFFFFFFF"/>
      <name val="Calibri"/>
      <family val="0"/>
      <charset val="1"/>
    </font>
    <font>
      <b val="true"/>
      <sz val="13"/>
      <color rgb="FFC12637"/>
      <name val="Calibri"/>
      <family val="0"/>
      <charset val="1"/>
    </font>
    <font>
      <b val="true"/>
      <sz val="11"/>
      <color rgb="FF0E3F75"/>
      <name val="Calibri"/>
      <family val="0"/>
      <charset val="1"/>
    </font>
    <font>
      <b val="true"/>
      <sz val="13"/>
      <color rgb="FF0098D3"/>
      <name val="Calibri"/>
      <family val="0"/>
      <charset val="1"/>
    </font>
    <font>
      <b val="true"/>
      <sz val="18"/>
      <color rgb="FF000000"/>
      <name val="Calibri"/>
      <family val="2"/>
    </font>
    <font>
      <sz val="10"/>
      <color rgb="FF000000"/>
      <name val="Calibri"/>
      <family val="2"/>
    </font>
    <font>
      <b val="true"/>
      <sz val="10"/>
      <color rgb="FF000000"/>
      <name val="Calibri"/>
      <family val="2"/>
    </font>
  </fonts>
  <fills count="10">
    <fill>
      <patternFill patternType="none"/>
    </fill>
    <fill>
      <patternFill patternType="gray125"/>
    </fill>
    <fill>
      <patternFill patternType="solid">
        <fgColor rgb="FF0E3F75"/>
        <bgColor rgb="FF333399"/>
      </patternFill>
    </fill>
    <fill>
      <patternFill patternType="solid">
        <fgColor rgb="FFFFFF00"/>
        <bgColor rgb="FFFFFF00"/>
      </patternFill>
    </fill>
    <fill>
      <patternFill patternType="solid">
        <fgColor rgb="FF5A6E85"/>
        <bgColor rgb="FF4A7EBB"/>
      </patternFill>
    </fill>
    <fill>
      <patternFill patternType="solid">
        <fgColor rgb="FFF4F4F6"/>
        <bgColor rgb="FFF9F9F9"/>
      </patternFill>
    </fill>
    <fill>
      <patternFill patternType="solid">
        <fgColor rgb="FF0098D3"/>
        <bgColor rgb="FF008080"/>
      </patternFill>
    </fill>
    <fill>
      <patternFill patternType="solid">
        <fgColor rgb="FFD6E4F0"/>
        <bgColor rgb="FFD9D9D9"/>
      </patternFill>
    </fill>
    <fill>
      <patternFill patternType="solid">
        <fgColor rgb="FFE9F0FA"/>
        <bgColor rgb="FFF4F4F6"/>
      </patternFill>
    </fill>
    <fill>
      <patternFill patternType="solid">
        <fgColor rgb="FFC12637"/>
        <bgColor rgb="FF993300"/>
      </patternFill>
    </fill>
  </fills>
  <borders count="5">
    <border diagonalUp="false" diagonalDown="false">
      <left/>
      <right/>
      <top/>
      <bottom/>
      <diagonal/>
    </border>
    <border diagonalUp="false" diagonalDown="false">
      <left style="thin">
        <color rgb="FFCCCCCC"/>
      </left>
      <right style="thin">
        <color rgb="FFCCCCCC"/>
      </right>
      <top style="thin">
        <color rgb="FFCCCCCC"/>
      </top>
      <bottom style="thin">
        <color rgb="FFCCCCCC"/>
      </bottom>
      <diagonal/>
    </border>
    <border diagonalUp="false" diagonalDown="false">
      <left style="medium">
        <color rgb="FF888888"/>
      </left>
      <right/>
      <top/>
      <bottom/>
      <diagonal/>
    </border>
    <border diagonalUp="false" diagonalDown="false">
      <left/>
      <right/>
      <top style="thin"/>
      <bottom/>
      <diagonal/>
    </border>
    <border diagonalUp="false" diagonalDown="false">
      <left style="medium">
        <color rgb="FF888888"/>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4" borderId="0" xfId="0" applyFont="true" applyBorder="true" applyAlignment="true" applyProtection="false">
      <alignment horizontal="left" vertical="center" textRotation="0" wrapText="false" indent="1"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right" vertical="bottom" textRotation="0" wrapText="false" indent="0" shrinkToFit="false"/>
      <protection locked="true" hidden="false"/>
    </xf>
    <xf numFmtId="166" fontId="8" fillId="3" borderId="1" xfId="0" applyFont="true" applyBorder="true" applyAlignment="true" applyProtection="false">
      <alignment horizontal="right" vertical="bottom" textRotation="0" wrapText="false" indent="0" shrinkToFit="false"/>
      <protection locked="true" hidden="false"/>
    </xf>
    <xf numFmtId="167" fontId="8" fillId="3" borderId="1" xfId="0" applyFont="true" applyBorder="true" applyAlignment="true" applyProtection="false">
      <alignment horizontal="right" vertical="bottom" textRotation="0" wrapText="false" indent="0" shrinkToFit="false"/>
      <protection locked="true" hidden="false"/>
    </xf>
    <xf numFmtId="164" fontId="14" fillId="0" borderId="1" xfId="0" applyFont="true" applyBorder="true" applyAlignment="true" applyProtection="false">
      <alignment horizontal="general" vertical="bottom" textRotation="0" wrapText="false" indent="0" shrinkToFit="false"/>
      <protection locked="true" hidden="false"/>
    </xf>
    <xf numFmtId="167" fontId="14" fillId="5" borderId="1" xfId="0" applyFont="true" applyBorder="true" applyAlignment="true" applyProtection="false">
      <alignment horizontal="right"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68" fontId="14" fillId="5" borderId="1" xfId="0" applyFont="true" applyBorder="true" applyAlignment="true" applyProtection="false">
      <alignment horizontal="right" vertical="bottom" textRotation="0" wrapText="false" indent="0" shrinkToFit="false"/>
      <protection locked="true" hidden="false"/>
    </xf>
    <xf numFmtId="165" fontId="14" fillId="5" borderId="1" xfId="0" applyFont="true" applyBorder="true" applyAlignment="true" applyProtection="false">
      <alignment horizontal="right" vertical="bottom" textRotation="0" wrapText="false" indent="0" shrinkToFit="false"/>
      <protection locked="true" hidden="false"/>
    </xf>
    <xf numFmtId="169" fontId="8" fillId="3" borderId="1" xfId="0" applyFont="true" applyBorder="true" applyAlignment="true" applyProtection="false">
      <alignment horizontal="right" vertical="bottom" textRotation="0" wrapText="false" indent="0" shrinkToFit="false"/>
      <protection locked="true" hidden="false"/>
    </xf>
    <xf numFmtId="165" fontId="6" fillId="0" borderId="1" xfId="0" applyFont="true" applyBorder="true" applyAlignment="true" applyProtection="false">
      <alignment horizontal="right"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70" fontId="14" fillId="5" borderId="1" xfId="0" applyFont="true" applyBorder="true" applyAlignment="true" applyProtection="false">
      <alignment horizontal="right" vertical="bottom" textRotation="0" wrapText="false" indent="0" shrinkToFit="false"/>
      <protection locked="true" hidden="false"/>
    </xf>
    <xf numFmtId="171" fontId="14" fillId="5" borderId="1" xfId="0" applyFont="true" applyBorder="true" applyAlignment="true" applyProtection="false">
      <alignment horizontal="right" vertical="bottom" textRotation="0" wrapText="false" indent="0" shrinkToFit="false"/>
      <protection locked="true" hidden="false"/>
    </xf>
    <xf numFmtId="172" fontId="14" fillId="5" borderId="1" xfId="0" applyFont="true" applyBorder="true" applyAlignment="true" applyProtection="false">
      <alignment horizontal="right" vertical="bottom" textRotation="0" wrapText="false" indent="0" shrinkToFit="false"/>
      <protection locked="true" hidden="false"/>
    </xf>
    <xf numFmtId="173" fontId="10" fillId="0" borderId="1" xfId="0" applyFont="true" applyBorder="true" applyAlignment="true" applyProtection="false">
      <alignment horizontal="right" vertical="bottom" textRotation="0" wrapText="false" indent="0" shrinkToFit="false"/>
      <protection locked="true" hidden="false"/>
    </xf>
    <xf numFmtId="173" fontId="14" fillId="5" borderId="1" xfId="0" applyFont="true" applyBorder="true" applyAlignment="true" applyProtection="false">
      <alignment horizontal="right" vertical="bottom" textRotation="0" wrapText="false" indent="0" shrinkToFit="false"/>
      <protection locked="true" hidden="false"/>
    </xf>
    <xf numFmtId="173" fontId="14" fillId="0" borderId="1" xfId="0" applyFont="true" applyBorder="true" applyAlignment="true" applyProtection="false">
      <alignment horizontal="right" vertical="bottom" textRotation="0" wrapText="false" indent="0" shrinkToFit="false"/>
      <protection locked="true" hidden="false"/>
    </xf>
    <xf numFmtId="164" fontId="17" fillId="2" borderId="2" xfId="0" applyFont="true" applyBorder="true" applyAlignment="true" applyProtection="false">
      <alignment horizontal="center" vertical="center" textRotation="0" wrapText="false" indent="0" shrinkToFit="false"/>
      <protection locked="true" hidden="false"/>
    </xf>
    <xf numFmtId="164" fontId="17" fillId="2" borderId="0" xfId="0" applyFont="true" applyBorder="false" applyAlignment="true" applyProtection="false">
      <alignment horizontal="center" vertical="center" textRotation="0" wrapText="false" indent="0" shrinkToFit="false"/>
      <protection locked="true" hidden="false"/>
    </xf>
    <xf numFmtId="164" fontId="17" fillId="6" borderId="0" xfId="0" applyFont="true" applyBorder="false" applyAlignment="true" applyProtection="false">
      <alignment horizontal="center" vertical="center"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2" fillId="0" borderId="2" xfId="0" applyFont="true" applyBorder="true" applyAlignment="true" applyProtection="false">
      <alignment horizontal="center" vertical="bottom"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8" fontId="10" fillId="0" borderId="2" xfId="0" applyFont="true" applyBorder="true" applyAlignment="true" applyProtection="false">
      <alignment horizontal="right" vertical="bottom" textRotation="0" wrapText="false" indent="0" shrinkToFit="false"/>
      <protection locked="true" hidden="false"/>
    </xf>
    <xf numFmtId="168" fontId="10" fillId="0" borderId="0" xfId="0" applyFont="true" applyBorder="false" applyAlignment="true" applyProtection="false">
      <alignment horizontal="right" vertical="bottom" textRotation="0" wrapText="false" indent="0" shrinkToFit="false"/>
      <protection locked="true" hidden="false"/>
    </xf>
    <xf numFmtId="166" fontId="6" fillId="0" borderId="2" xfId="0" applyFont="true" applyBorder="true" applyAlignment="true" applyProtection="false">
      <alignment horizontal="right" vertical="bottom" textRotation="0" wrapText="false" indent="0" shrinkToFit="false"/>
      <protection locked="true" hidden="false"/>
    </xf>
    <xf numFmtId="166" fontId="6" fillId="0" borderId="0" xfId="0" applyFont="true" applyBorder="false" applyAlignment="true" applyProtection="false">
      <alignment horizontal="right" vertical="bottom" textRotation="0" wrapText="false" indent="0" shrinkToFit="false"/>
      <protection locked="true" hidden="false"/>
    </xf>
    <xf numFmtId="166" fontId="18" fillId="6" borderId="3" xfId="0" applyFont="true" applyBorder="true" applyAlignment="true" applyProtection="false">
      <alignment horizontal="right" vertical="bottom" textRotation="0" wrapText="false" indent="0" shrinkToFit="false"/>
      <protection locked="true" hidden="false"/>
    </xf>
    <xf numFmtId="166" fontId="18" fillId="2" borderId="3" xfId="0" applyFont="true" applyBorder="true" applyAlignment="true" applyProtection="false">
      <alignment horizontal="right" vertical="bottom" textRotation="0" wrapText="false" indent="0" shrinkToFit="false"/>
      <protection locked="true" hidden="false"/>
    </xf>
    <xf numFmtId="165" fontId="10" fillId="0" borderId="2" xfId="0" applyFont="true" applyBorder="true" applyAlignment="true" applyProtection="false">
      <alignment horizontal="right" vertical="bottom" textRotation="0" wrapText="false" indent="0" shrinkToFit="false"/>
      <protection locked="true" hidden="false"/>
    </xf>
    <xf numFmtId="165" fontId="10"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73" fontId="14" fillId="5" borderId="4" xfId="0" applyFont="true" applyBorder="true" applyAlignment="true" applyProtection="false">
      <alignment horizontal="right" vertical="bottom" textRotation="0" wrapText="false" indent="0" shrinkToFit="false"/>
      <protection locked="true" hidden="false"/>
    </xf>
    <xf numFmtId="173" fontId="14" fillId="5" borderId="3" xfId="0" applyFont="true" applyBorder="true" applyAlignment="true" applyProtection="false">
      <alignment horizontal="right" vertical="bottom" textRotation="0" wrapText="false" indent="0" shrinkToFit="false"/>
      <protection locked="true" hidden="false"/>
    </xf>
    <xf numFmtId="173" fontId="14" fillId="7" borderId="3" xfId="0" applyFont="true" applyBorder="true" applyAlignment="true" applyProtection="false">
      <alignment horizontal="right" vertical="bottom" textRotation="0" wrapText="false" indent="0" shrinkToFit="false"/>
      <protection locked="true" hidden="false"/>
    </xf>
    <xf numFmtId="173" fontId="18" fillId="2" borderId="3" xfId="0" applyFont="true" applyBorder="true" applyAlignment="true" applyProtection="false">
      <alignment horizontal="right" vertical="bottom" textRotation="0" wrapText="false" indent="0" shrinkToFit="false"/>
      <protection locked="true" hidden="false"/>
    </xf>
    <xf numFmtId="173" fontId="18" fillId="6" borderId="3" xfId="0" applyFont="true" applyBorder="true" applyAlignment="true" applyProtection="false">
      <alignment horizontal="right" vertical="bottom" textRotation="0" wrapText="false" indent="0" shrinkToFit="false"/>
      <protection locked="true" hidden="false"/>
    </xf>
    <xf numFmtId="173" fontId="14" fillId="8" borderId="3" xfId="0" applyFont="true" applyBorder="true" applyAlignment="true" applyProtection="false">
      <alignment horizontal="right" vertical="bottom" textRotation="0" wrapText="false" indent="0" shrinkToFit="false"/>
      <protection locked="true" hidden="false"/>
    </xf>
    <xf numFmtId="167" fontId="6" fillId="0" borderId="0" xfId="0" applyFont="true" applyBorder="false" applyAlignment="true" applyProtection="false">
      <alignment horizontal="right" vertical="bottom" textRotation="0" wrapText="false" indent="0" shrinkToFit="false"/>
      <protection locked="true" hidden="false"/>
    </xf>
    <xf numFmtId="167" fontId="14" fillId="5" borderId="3" xfId="0" applyFont="true" applyBorder="true" applyAlignment="true" applyProtection="false">
      <alignment horizontal="right" vertical="bottom" textRotation="0" wrapText="false" indent="0" shrinkToFit="false"/>
      <protection locked="true" hidden="false"/>
    </xf>
    <xf numFmtId="169" fontId="12" fillId="0" borderId="0" xfId="0" applyFont="true" applyBorder="false" applyAlignment="true" applyProtection="false">
      <alignment horizontal="right" vertical="bottom"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1" shrinkToFit="false"/>
      <protection locked="true" hidden="false"/>
    </xf>
    <xf numFmtId="165" fontId="6" fillId="0" borderId="0" xfId="0" applyFont="true" applyBorder="false" applyAlignment="true" applyProtection="false">
      <alignment horizontal="right" vertical="bottom" textRotation="0" wrapText="false" indent="0" shrinkToFit="false"/>
      <protection locked="true" hidden="false"/>
    </xf>
    <xf numFmtId="165" fontId="18" fillId="2" borderId="3" xfId="0" applyFont="true" applyBorder="true" applyAlignment="true" applyProtection="false">
      <alignment horizontal="right" vertical="bottom" textRotation="0" wrapText="false" indent="0" shrinkToFit="false"/>
      <protection locked="true" hidden="false"/>
    </xf>
    <xf numFmtId="164" fontId="19" fillId="9" borderId="0" xfId="0" applyFont="true" applyBorder="true" applyAlignment="true" applyProtection="false">
      <alignment horizontal="left" vertical="center" textRotation="0" wrapText="false" indent="1" shrinkToFit="false"/>
      <protection locked="true" hidden="false"/>
    </xf>
    <xf numFmtId="164" fontId="17" fillId="9" borderId="0" xfId="0" applyFont="true" applyBorder="false" applyAlignment="true" applyProtection="false">
      <alignment horizontal="center" vertical="center" textRotation="0" wrapText="false" indent="0" shrinkToFit="false"/>
      <protection locked="true" hidden="false"/>
    </xf>
    <xf numFmtId="165" fontId="18" fillId="9" borderId="3" xfId="0" applyFont="true" applyBorder="true" applyAlignment="true" applyProtection="false">
      <alignment horizontal="right" vertical="bottom" textRotation="0" wrapText="false" indent="0" shrinkToFit="false"/>
      <protection locked="true" hidden="false"/>
    </xf>
    <xf numFmtId="173" fontId="18" fillId="9" borderId="3" xfId="0" applyFont="true" applyBorder="true" applyAlignment="true" applyProtection="false">
      <alignment horizontal="right" vertical="bottom" textRotation="0" wrapText="false" indent="0" shrinkToFit="false"/>
      <protection locked="true" hidden="false"/>
    </xf>
    <xf numFmtId="164" fontId="19" fillId="6" borderId="0" xfId="0" applyFont="true" applyBorder="true" applyAlignment="true" applyProtection="false">
      <alignment horizontal="left" vertical="center" textRotation="0" wrapText="false" indent="1" shrinkToFit="false"/>
      <protection locked="true" hidden="false"/>
    </xf>
    <xf numFmtId="165" fontId="18" fillId="6" borderId="3" xfId="0" applyFont="true" applyBorder="true" applyAlignment="true" applyProtection="false">
      <alignment horizontal="right" vertical="bottom" textRotation="0" wrapText="false" indent="0" shrinkToFit="false"/>
      <protection locked="true" hidden="false"/>
    </xf>
    <xf numFmtId="173" fontId="12" fillId="0" borderId="0" xfId="0" applyFont="true" applyBorder="false" applyAlignment="true" applyProtection="false">
      <alignment horizontal="right"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18" fillId="9" borderId="0" xfId="0" applyFont="true" applyBorder="false" applyAlignment="true" applyProtection="false">
      <alignment horizontal="center" vertical="center" textRotation="0" wrapText="false" indent="0" shrinkToFit="false"/>
      <protection locked="true" hidden="false"/>
    </xf>
    <xf numFmtId="164" fontId="18" fillId="2" borderId="0" xfId="0" applyFont="true" applyBorder="false" applyAlignment="true" applyProtection="false">
      <alignment horizontal="center" vertical="center" textRotation="0" wrapText="false" indent="0" shrinkToFit="false"/>
      <protection locked="true" hidden="false"/>
    </xf>
    <xf numFmtId="164" fontId="18" fillId="6" borderId="0" xfId="0" applyFont="true" applyBorder="false" applyAlignment="true" applyProtection="false">
      <alignment horizontal="center" vertical="center" textRotation="0" wrapText="false" indent="0" shrinkToFit="false"/>
      <protection locked="true" hidden="false"/>
    </xf>
    <xf numFmtId="173" fontId="6" fillId="0" borderId="0" xfId="0" applyFont="true" applyBorder="false" applyAlignment="true" applyProtection="false">
      <alignment horizontal="right" vertical="bottom" textRotation="0" wrapText="false" indent="0" shrinkToFit="false"/>
      <protection locked="true" hidden="false"/>
    </xf>
    <xf numFmtId="173" fontId="10" fillId="0" borderId="0" xfId="0" applyFont="true" applyBorder="false" applyAlignment="true" applyProtection="false">
      <alignment horizontal="right" vertical="bottom" textRotation="0" wrapText="false" indent="0" shrinkToFit="false"/>
      <protection locked="true" hidden="false"/>
    </xf>
    <xf numFmtId="173" fontId="14" fillId="5" borderId="0" xfId="0" applyFont="true" applyBorder="false" applyAlignment="true" applyProtection="false">
      <alignment horizontal="right" vertical="bottom" textRotation="0" wrapText="false" indent="0" shrinkToFit="false"/>
      <protection locked="true" hidden="false"/>
    </xf>
    <xf numFmtId="173" fontId="18" fillId="9" borderId="0" xfId="0" applyFont="true" applyBorder="false" applyAlignment="true" applyProtection="false">
      <alignment horizontal="right" vertical="bottom" textRotation="0" wrapText="false" indent="0" shrinkToFit="false"/>
      <protection locked="true" hidden="false"/>
    </xf>
    <xf numFmtId="173" fontId="18" fillId="2" borderId="0" xfId="0" applyFont="true" applyBorder="false" applyAlignment="true" applyProtection="false">
      <alignment horizontal="right" vertical="bottom" textRotation="0" wrapText="false" indent="0" shrinkToFit="false"/>
      <protection locked="true" hidden="false"/>
    </xf>
    <xf numFmtId="173" fontId="18" fillId="6" borderId="0" xfId="0" applyFont="true" applyBorder="false" applyAlignment="true" applyProtection="false">
      <alignment horizontal="right" vertical="bottom" textRotation="0" wrapText="false" indent="0" shrinkToFit="false"/>
      <protection locked="true" hidden="false"/>
    </xf>
    <xf numFmtId="173" fontId="5" fillId="5" borderId="1" xfId="0" applyFont="true" applyBorder="true" applyAlignment="true" applyProtection="false">
      <alignment horizontal="right" vertical="bottom" textRotation="0" wrapText="false" indent="0" shrinkToFit="false"/>
      <protection locked="true" hidden="false"/>
    </xf>
    <xf numFmtId="167" fontId="5" fillId="5" borderId="1" xfId="0" applyFont="true" applyBorder="true" applyAlignment="true" applyProtection="false">
      <alignment horizontal="right" vertical="bottom" textRotation="0" wrapText="false" indent="0" shrinkToFit="false"/>
      <protection locked="true" hidden="false"/>
    </xf>
    <xf numFmtId="174" fontId="5" fillId="5" borderId="1" xfId="0" applyFont="true" applyBorder="true" applyAlignment="true" applyProtection="false">
      <alignment horizontal="right" vertical="bottom" textRotation="0" wrapText="false" indent="0" shrinkToFit="false"/>
      <protection locked="true" hidden="false"/>
    </xf>
    <xf numFmtId="164" fontId="5" fillId="5" borderId="1" xfId="0" applyFont="true" applyBorder="true" applyAlignment="true" applyProtection="false">
      <alignment horizontal="right" vertical="bottom" textRotation="0" wrapText="false" indent="0" shrinkToFit="false"/>
      <protection locked="true" hidden="false"/>
    </xf>
    <xf numFmtId="175" fontId="5" fillId="5" borderId="1" xfId="0" applyFont="true" applyBorder="true" applyAlignment="true" applyProtection="false">
      <alignment horizontal="right" vertical="bottom" textRotation="0" wrapText="false" indent="0" shrinkToFit="false"/>
      <protection locked="true" hidden="false"/>
    </xf>
    <xf numFmtId="171" fontId="5" fillId="5" borderId="1" xfId="0" applyFont="true" applyBorder="true" applyAlignment="true" applyProtection="false">
      <alignment horizontal="right" vertical="bottom" textRotation="0" wrapText="false" indent="0" shrinkToFit="false"/>
      <protection locked="true" hidden="false"/>
    </xf>
    <xf numFmtId="176" fontId="5" fillId="5" borderId="1" xfId="0" applyFont="true" applyBorder="true" applyAlignment="true" applyProtection="false">
      <alignment horizontal="right" vertical="bottom" textRotation="0" wrapText="false" indent="0" shrinkToFit="false"/>
      <protection locked="true" hidden="false"/>
    </xf>
    <xf numFmtId="173" fontId="20" fillId="0" borderId="0" xfId="0" applyFont="true" applyBorder="false" applyAlignment="true" applyProtection="false">
      <alignment horizontal="left" vertical="bottom" textRotation="0" wrapText="false" indent="0" shrinkToFit="false"/>
      <protection locked="true" hidden="false"/>
    </xf>
    <xf numFmtId="164" fontId="21" fillId="0" borderId="0" xfId="0" applyFont="true" applyBorder="false" applyAlignment="true" applyProtection="false">
      <alignment horizontal="general" vertical="bottom" textRotation="0" wrapText="false" indent="0" shrinkToFit="false"/>
      <protection locked="true" hidden="false"/>
    </xf>
    <xf numFmtId="173" fontId="5" fillId="0" borderId="0" xfId="0" applyFont="true" applyBorder="false" applyAlignment="true" applyProtection="false">
      <alignment horizontal="left" vertical="bottom" textRotation="0" wrapText="false" indent="0" shrinkToFit="false"/>
      <protection locked="true" hidden="false"/>
    </xf>
    <xf numFmtId="173" fontId="22" fillId="0" borderId="0" xfId="0" applyFont="true" applyBorder="false" applyAlignment="true" applyProtection="false">
      <alignment horizontal="left"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b val="1"/>
        <color rgb="FFFFFFFF"/>
      </font>
      <fill>
        <patternFill>
          <bgColor rgb="FFC12637"/>
        </patternFill>
      </fill>
    </dxf>
    <dxf>
      <fill>
        <patternFill>
          <bgColor rgb="FFD6EFD6"/>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98D3"/>
      <rgbColor rgb="FFCCCCCC"/>
      <rgbColor rgb="FF878787"/>
      <rgbColor rgb="FF9999FF"/>
      <rgbColor rgb="FFC12637"/>
      <rgbColor rgb="FFF9F9F9"/>
      <rgbColor rgb="FFE9F0FA"/>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D6E4F0"/>
      <rgbColor rgb="FFD6EFD6"/>
      <rgbColor rgb="FFF4F4F6"/>
      <rgbColor rgb="FF99CCFF"/>
      <rgbColor rgb="FFFF99CC"/>
      <rgbColor rgb="FFCC99FF"/>
      <rgbColor rgb="FFFFCC99"/>
      <rgbColor rgb="FF4A7EBB"/>
      <rgbColor rgb="FF33CCCC"/>
      <rgbColor rgb="FF99CC00"/>
      <rgbColor rgb="FFFFCC00"/>
      <rgbColor rgb="FFFF9900"/>
      <rgbColor rgb="FFFF6600"/>
      <rgbColor rgb="FF5A6E85"/>
      <rgbColor rgb="FF888888"/>
      <rgbColor rgb="FF0E3F75"/>
      <rgbColor rgb="FF4F81BD"/>
      <rgbColor rgb="FF003300"/>
      <rgbColor rgb="FF333300"/>
      <rgbColor rgb="FF993300"/>
      <rgbColor rgb="FFC0504D"/>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Ending Cash Balance — 36 Months</a:t>
            </a:r>
          </a:p>
        </c:rich>
      </c:tx>
      <c:overlay val="0"/>
      <c:spPr>
        <a:noFill/>
        <a:ln w="0">
          <a:noFill/>
        </a:ln>
      </c:spPr>
    </c:title>
    <c:autoTitleDeleted val="0"/>
    <c:plotArea>
      <c:lineChart>
        <c:grouping val="standard"/>
        <c:varyColors val="0"/>
        <c:ser>
          <c:idx val="0"/>
          <c:order val="0"/>
          <c:tx>
            <c:strRef>
              <c:f>"Ending Cash"</c:f>
              <c:strCache>
                <c:ptCount val="1"/>
                <c:pt idx="0">
                  <c:v>Ending Cash</c:v>
                </c:pt>
              </c:strCache>
            </c:strRef>
          </c:tx>
          <c:spPr>
            <a:solidFill>
              <a:srgbClr val="4a7ebb"/>
            </a:solidFill>
            <a:ln w="28440">
              <a:solidFill>
                <a:srgbClr val="4a7ebb"/>
              </a:solidFill>
              <a:round/>
            </a:ln>
          </c:spPr>
          <c:marker>
            <c:symbol val="none"/>
          </c:marker>
          <c:dLbls>
            <c:txPr>
              <a:bodyPr wrap="square"/>
              <a:lstStyle/>
              <a:p>
                <a:pPr>
                  <a:defRPr b="0" sz="1000" spc="-1" strike="noStrike">
                    <a:solidFill>
                      <a:srgbClr val="000000"/>
                    </a:solidFill>
                    <a:latin typeface="Arial"/>
                  </a:defRPr>
                </a:pPr>
              </a:p>
            </c:txPr>
            <c:dLblPos val="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val>
            <c:numRef>
              <c:f>'Cash Flow Statement'!$B$58:$AK$58</c:f>
              <c:numCache>
                <c:formatCode>\$#,##0;"($"#,##0\);\-</c:formatCode>
                <c:ptCount val="36"/>
                <c:pt idx="0">
                  <c:v>22181.9880145965</c:v>
                </c:pt>
                <c:pt idx="1">
                  <c:v>21063.976029193</c:v>
                </c:pt>
                <c:pt idx="2">
                  <c:v>21175.9640437895</c:v>
                </c:pt>
                <c:pt idx="3">
                  <c:v>21677.952058386</c:v>
                </c:pt>
                <c:pt idx="4">
                  <c:v>22379.9400729825</c:v>
                </c:pt>
                <c:pt idx="5">
                  <c:v>23321.928087579</c:v>
                </c:pt>
                <c:pt idx="6">
                  <c:v>24173.9161021755</c:v>
                </c:pt>
                <c:pt idx="7">
                  <c:v>24785.904116772</c:v>
                </c:pt>
                <c:pt idx="8">
                  <c:v>25437.8921313685</c:v>
                </c:pt>
                <c:pt idx="9">
                  <c:v>26329.880145965</c:v>
                </c:pt>
                <c:pt idx="10">
                  <c:v>27751.8681605615</c:v>
                </c:pt>
                <c:pt idx="11">
                  <c:v>29613.856175158</c:v>
                </c:pt>
                <c:pt idx="12">
                  <c:v>30648.9038301924</c:v>
                </c:pt>
                <c:pt idx="13">
                  <c:v>31288.9514852268</c:v>
                </c:pt>
                <c:pt idx="14">
                  <c:v>32143.4991402612</c:v>
                </c:pt>
                <c:pt idx="15">
                  <c:v>33446.5467952956</c:v>
                </c:pt>
                <c:pt idx="16">
                  <c:v>34979.59445033</c:v>
                </c:pt>
                <c:pt idx="17">
                  <c:v>36788.6421053644</c:v>
                </c:pt>
                <c:pt idx="18">
                  <c:v>38494.1897603988</c:v>
                </c:pt>
                <c:pt idx="19">
                  <c:v>39923.7374154332</c:v>
                </c:pt>
                <c:pt idx="20">
                  <c:v>41399.2850704676</c:v>
                </c:pt>
                <c:pt idx="21">
                  <c:v>43150.832725502</c:v>
                </c:pt>
                <c:pt idx="22">
                  <c:v>45511.8803805364</c:v>
                </c:pt>
                <c:pt idx="23">
                  <c:v>48378.9280355708</c:v>
                </c:pt>
                <c:pt idx="24">
                  <c:v>50316.7671202562</c:v>
                </c:pt>
                <c:pt idx="25">
                  <c:v>51800.3562049417</c:v>
                </c:pt>
                <c:pt idx="26">
                  <c:v>53530.6202896271</c:v>
                </c:pt>
                <c:pt idx="27">
                  <c:v>55776.6593743125</c:v>
                </c:pt>
                <c:pt idx="28">
                  <c:v>58287.1984589979</c:v>
                </c:pt>
                <c:pt idx="29">
                  <c:v>61115.1375436834</c:v>
                </c:pt>
                <c:pt idx="30">
                  <c:v>63824.0516283688</c:v>
                </c:pt>
                <c:pt idx="31">
                  <c:v>66215.5657130542</c:v>
                </c:pt>
                <c:pt idx="32">
                  <c:v>68659.9797977397</c:v>
                </c:pt>
                <c:pt idx="33">
                  <c:v>71421.7938824251</c:v>
                </c:pt>
                <c:pt idx="34">
                  <c:v>74884.5329671105</c:v>
                </c:pt>
                <c:pt idx="35">
                  <c:v>78929.172051796</c:v>
                </c:pt>
              </c:numCache>
            </c:numRef>
          </c:val>
          <c:smooth val="1"/>
        </c:ser>
        <c:hiLowLines>
          <c:spPr>
            <a:ln w="0">
              <a:noFill/>
            </a:ln>
          </c:spPr>
        </c:hiLowLines>
        <c:marker val="0"/>
        <c:axId val="70460639"/>
        <c:axId val="74807063"/>
      </c:lineChart>
      <c:catAx>
        <c:axId val="7046063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807063"/>
        <c:crosses val="autoZero"/>
        <c:auto val="1"/>
        <c:lblAlgn val="ctr"/>
        <c:lblOffset val="100"/>
        <c:noMultiLvlLbl val="0"/>
      </c:catAx>
      <c:valAx>
        <c:axId val="74807063"/>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Cash Balance ($)</a:t>
                </a:r>
              </a:p>
            </c:rich>
          </c:tx>
          <c:overlay val="0"/>
          <c:spPr>
            <a:noFill/>
            <a:ln w="0">
              <a:noFill/>
            </a:ln>
          </c:spPr>
        </c:title>
        <c:numFmt formatCode="\$#,##0;&quot;($&quot;#,##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460639"/>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Revenue vs. Total Expenses — 36 Months</a:t>
            </a:r>
          </a:p>
        </c:rich>
      </c:tx>
      <c:overlay val="0"/>
      <c:spPr>
        <a:noFill/>
        <a:ln w="0">
          <a:noFill/>
        </a:ln>
      </c:spPr>
    </c:title>
    <c:autoTitleDeleted val="0"/>
    <c:plotArea>
      <c:barChart>
        <c:barDir val="col"/>
        <c:grouping val="clustered"/>
        <c:varyColors val="0"/>
        <c:ser>
          <c:idx val="0"/>
          <c:order val="0"/>
          <c:tx>
            <c:strRef>
              <c:f>"Revenue"</c:f>
              <c:strCache>
                <c:ptCount val="1"/>
                <c:pt idx="0">
                  <c:v>Revenue</c:v>
                </c:pt>
              </c:strCache>
            </c:strRef>
          </c:tx>
          <c:spPr>
            <a:solidFill>
              <a:srgbClr val="4f81bd"/>
            </a:solidFill>
            <a:ln w="9360">
              <a:solidFill>
                <a:srgbClr val="f9f9f9"/>
              </a:solidFill>
              <a:round/>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'Income Statement'!$B$3:$M$3</c:f>
              <c:multiLvlStrCache>
                <c:ptCount val="1"/>
                <c:lvl>
                  <c:pt idx="0">
                    <c:v>M12</c:v>
                  </c:pt>
                </c:lvl>
                <c:lvl>
                  <c:pt idx="0">
                    <c:v>M11</c:v>
                  </c:pt>
                </c:lvl>
                <c:lvl>
                  <c:pt idx="0">
                    <c:v>M10</c:v>
                  </c:pt>
                </c:lvl>
                <c:lvl>
                  <c:pt idx="0">
                    <c:v>M9</c:v>
                  </c:pt>
                </c:lvl>
                <c:lvl>
                  <c:pt idx="0">
                    <c:v>M8</c:v>
                  </c:pt>
                </c:lvl>
                <c:lvl>
                  <c:pt idx="0">
                    <c:v>M7</c:v>
                  </c:pt>
                </c:lvl>
                <c:lvl>
                  <c:pt idx="0">
                    <c:v>M6</c:v>
                  </c:pt>
                </c:lvl>
                <c:lvl>
                  <c:pt idx="0">
                    <c:v>M5</c:v>
                  </c:pt>
                </c:lvl>
                <c:lvl>
                  <c:pt idx="0">
                    <c:v>M4</c:v>
                  </c:pt>
                </c:lvl>
                <c:lvl>
                  <c:pt idx="0">
                    <c:v>M3</c:v>
                  </c:pt>
                </c:lvl>
                <c:lvl>
                  <c:pt idx="0">
                    <c:v>M2</c:v>
                  </c:pt>
                </c:lvl>
                <c:lvl>
                  <c:pt idx="0">
                    <c:v>M1</c:v>
                  </c:pt>
                </c:lvl>
              </c:multiLvlStrCache>
            </c:multiLvlStrRef>
          </c:cat>
          <c:val>
            <c:numRef>
              <c:f>'Income Statement'!$B$4:$M$4</c:f>
              <c:numCache>
                <c:formatCode>\$#,##0;"($"#,##0\)</c:formatCode>
                <c:ptCount val="12"/>
                <c:pt idx="0">
                  <c:v>8500</c:v>
                </c:pt>
                <c:pt idx="1">
                  <c:v>8500</c:v>
                </c:pt>
                <c:pt idx="2">
                  <c:v>9500</c:v>
                </c:pt>
                <c:pt idx="3">
                  <c:v>10000</c:v>
                </c:pt>
                <c:pt idx="4">
                  <c:v>10000</c:v>
                </c:pt>
                <c:pt idx="5">
                  <c:v>10500</c:v>
                </c:pt>
                <c:pt idx="6">
                  <c:v>10000</c:v>
                </c:pt>
                <c:pt idx="7">
                  <c:v>9500</c:v>
                </c:pt>
                <c:pt idx="8">
                  <c:v>10000</c:v>
                </c:pt>
                <c:pt idx="9">
                  <c:v>10500</c:v>
                </c:pt>
                <c:pt idx="10">
                  <c:v>11500</c:v>
                </c:pt>
                <c:pt idx="11">
                  <c:v>12000</c:v>
                </c:pt>
              </c:numCache>
            </c:numRef>
          </c:val>
        </c:ser>
        <c:ser>
          <c:idx val="1"/>
          <c:order val="1"/>
          <c:tx>
            <c:strRef>
              <c:f>"Total Expenses"</c:f>
              <c:strCache>
                <c:ptCount val="1"/>
                <c:pt idx="0">
                  <c:v>Total Expenses</c:v>
                </c:pt>
              </c:strCache>
            </c:strRef>
          </c:tx>
          <c:spPr>
            <a:solidFill>
              <a:srgbClr val="c0504d"/>
            </a:solidFill>
            <a:ln w="9360">
              <a:solidFill>
                <a:srgbClr val="f9f9f9"/>
              </a:solidFill>
              <a:round/>
            </a:ln>
          </c:spPr>
          <c:invertIfNegative val="0"/>
          <c:dLbls>
            <c:txPr>
              <a:bodyPr wrap="square"/>
              <a:lstStyle/>
              <a:p>
                <a:pPr>
                  <a:defRPr b="0" sz="1000" spc="-1" strike="noStrike">
                    <a:solidFill>
                      <a:srgbClr val="000000"/>
                    </a:solidFill>
                    <a:latin typeface="Arial"/>
                  </a:defRPr>
                </a:pPr>
              </a:p>
            </c:txPr>
            <c:dLblPos val="outEnd"/>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'Income Statement'!$B$3:$M$3</c:f>
              <c:multiLvlStrCache>
                <c:ptCount val="1"/>
                <c:lvl>
                  <c:pt idx="0">
                    <c:v>M12</c:v>
                  </c:pt>
                </c:lvl>
                <c:lvl>
                  <c:pt idx="0">
                    <c:v>M11</c:v>
                  </c:pt>
                </c:lvl>
                <c:lvl>
                  <c:pt idx="0">
                    <c:v>M10</c:v>
                  </c:pt>
                </c:lvl>
                <c:lvl>
                  <c:pt idx="0">
                    <c:v>M9</c:v>
                  </c:pt>
                </c:lvl>
                <c:lvl>
                  <c:pt idx="0">
                    <c:v>M8</c:v>
                  </c:pt>
                </c:lvl>
                <c:lvl>
                  <c:pt idx="0">
                    <c:v>M7</c:v>
                  </c:pt>
                </c:lvl>
                <c:lvl>
                  <c:pt idx="0">
                    <c:v>M6</c:v>
                  </c:pt>
                </c:lvl>
                <c:lvl>
                  <c:pt idx="0">
                    <c:v>M5</c:v>
                  </c:pt>
                </c:lvl>
                <c:lvl>
                  <c:pt idx="0">
                    <c:v>M4</c:v>
                  </c:pt>
                </c:lvl>
                <c:lvl>
                  <c:pt idx="0">
                    <c:v>M3</c:v>
                  </c:pt>
                </c:lvl>
                <c:lvl>
                  <c:pt idx="0">
                    <c:v>M2</c:v>
                  </c:pt>
                </c:lvl>
                <c:lvl>
                  <c:pt idx="0">
                    <c:v>M1</c:v>
                  </c:pt>
                </c:lvl>
              </c:multiLvlStrCache>
            </c:multiLvlStrRef>
          </c:cat>
          <c:val>
            <c:numRef>
              <c:f>'Expense Forecast'!$B$6:$M$6</c:f>
              <c:numCache>
                <c:formatCode>\$#,##0;"($"#,##0\);\-</c:formatCode>
                <c:ptCount val="12"/>
                <c:pt idx="0">
                  <c:v>8768.0119854035</c:v>
                </c:pt>
                <c:pt idx="1">
                  <c:v>8768.0119854035</c:v>
                </c:pt>
                <c:pt idx="2">
                  <c:v>9088.0119854035</c:v>
                </c:pt>
                <c:pt idx="3">
                  <c:v>9248.0119854035</c:v>
                </c:pt>
                <c:pt idx="4">
                  <c:v>9248.0119854035</c:v>
                </c:pt>
                <c:pt idx="5">
                  <c:v>9408.0119854035</c:v>
                </c:pt>
                <c:pt idx="6">
                  <c:v>9248.0119854035</c:v>
                </c:pt>
                <c:pt idx="7">
                  <c:v>9088.0119854035</c:v>
                </c:pt>
                <c:pt idx="8">
                  <c:v>9248.0119854035</c:v>
                </c:pt>
                <c:pt idx="9">
                  <c:v>9408.0119854035</c:v>
                </c:pt>
                <c:pt idx="10">
                  <c:v>9728.0119854035</c:v>
                </c:pt>
                <c:pt idx="11">
                  <c:v>9888.0119854035</c:v>
                </c:pt>
              </c:numCache>
            </c:numRef>
          </c:val>
        </c:ser>
        <c:gapWidth val="150"/>
        <c:overlap val="0"/>
        <c:axId val="98973209"/>
        <c:axId val="25602744"/>
      </c:barChart>
      <c:catAx>
        <c:axId val="98973209"/>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Month</a:t>
                </a:r>
              </a:p>
            </c:rich>
          </c:tx>
          <c:overlay val="0"/>
          <c:spPr>
            <a:noFill/>
            <a:ln w="0">
              <a:noFill/>
            </a:ln>
          </c:spPr>
        </c:title>
        <c:numFmt formatCode="General"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5602744"/>
        <c:crosses val="autoZero"/>
        <c:auto val="1"/>
        <c:lblAlgn val="ctr"/>
        <c:lblOffset val="100"/>
        <c:noMultiLvlLbl val="0"/>
      </c:catAx>
      <c:valAx>
        <c:axId val="25602744"/>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a:t>
                </a:r>
              </a:p>
            </c:rich>
          </c:tx>
          <c:overlay val="0"/>
          <c:spPr>
            <a:noFill/>
            <a:ln w="0">
              <a:noFill/>
            </a:ln>
          </c:spPr>
        </c:title>
        <c:numFmt formatCode="\$#,##0;&quot;($&quot;#,##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8973209"/>
        <c:crosses val="autoZero"/>
        <c:crossBetween val="between"/>
      </c:valAx>
      <c:spPr>
        <a:noFill/>
        <a:ln w="0">
          <a:noFill/>
        </a:ln>
      </c:spPr>
    </c:plotArea>
    <c:legend>
      <c:legendPos val="r"/>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18</xdr:row>
      <xdr:rowOff>88560</xdr:rowOff>
    </xdr:from>
    <xdr:to>
      <xdr:col>4</xdr:col>
      <xdr:colOff>1293480</xdr:colOff>
      <xdr:row>32</xdr:row>
      <xdr:rowOff>187560</xdr:rowOff>
    </xdr:to>
    <xdr:graphicFrame>
      <xdr:nvGraphicFramePr>
        <xdr:cNvPr id="0" name="Chart 1"/>
        <xdr:cNvGraphicFramePr/>
      </xdr:nvGraphicFramePr>
      <xdr:xfrm>
        <a:off x="0" y="4332240"/>
        <a:ext cx="7918920" cy="287856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35</xdr:row>
      <xdr:rowOff>166680</xdr:rowOff>
    </xdr:from>
    <xdr:to>
      <xdr:col>4</xdr:col>
      <xdr:colOff>1293480</xdr:colOff>
      <xdr:row>50</xdr:row>
      <xdr:rowOff>187560</xdr:rowOff>
    </xdr:to>
    <xdr:graphicFrame>
      <xdr:nvGraphicFramePr>
        <xdr:cNvPr id="1" name="Chart 2"/>
        <xdr:cNvGraphicFramePr/>
      </xdr:nvGraphicFramePr>
      <xdr:xfrm>
        <a:off x="0" y="7761240"/>
        <a:ext cx="7918920" cy="287856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9.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31.5" hidden="false" customHeight="true" outlineLevel="0" collapsed="false">
      <c r="A1" s="2" t="s">
        <v>0</v>
      </c>
      <c r="B1" s="2"/>
    </row>
    <row r="3" customFormat="false" ht="16.5" hidden="false" customHeight="true" outlineLevel="0" collapsed="false">
      <c r="B3" s="3" t="s">
        <v>1</v>
      </c>
    </row>
    <row r="4" customFormat="false" ht="15" hidden="false" customHeight="true" outlineLevel="0" collapsed="false">
      <c r="B4" s="4"/>
    </row>
    <row r="5" customFormat="false" ht="15" hidden="false" customHeight="true" outlineLevel="0" collapsed="false">
      <c r="B5" s="5" t="s">
        <v>2</v>
      </c>
    </row>
    <row r="6" customFormat="false" ht="41.25" hidden="false" customHeight="true" outlineLevel="0" collapsed="false">
      <c r="B6" s="4" t="s">
        <v>3</v>
      </c>
    </row>
    <row r="7" customFormat="false" ht="15" hidden="false" customHeight="true" outlineLevel="0" collapsed="false">
      <c r="B7" s="4"/>
    </row>
    <row r="8" customFormat="false" ht="15" hidden="false" customHeight="true" outlineLevel="0" collapsed="false">
      <c r="B8" s="5" t="s">
        <v>4</v>
      </c>
    </row>
    <row r="9" customFormat="false" ht="27.75" hidden="false" customHeight="true" outlineLevel="0" collapsed="false">
      <c r="B9" s="4" t="s">
        <v>5</v>
      </c>
    </row>
    <row r="10" customFormat="false" ht="15" hidden="false" customHeight="true" outlineLevel="0" collapsed="false">
      <c r="B10" s="4" t="s">
        <v>6</v>
      </c>
    </row>
    <row r="11" customFormat="false" ht="15" hidden="false" customHeight="true" outlineLevel="0" collapsed="false">
      <c r="B11" s="4" t="s">
        <v>7</v>
      </c>
    </row>
    <row r="12" customFormat="false" ht="15" hidden="false" customHeight="true" outlineLevel="0" collapsed="false">
      <c r="B12" s="4" t="s">
        <v>8</v>
      </c>
    </row>
    <row r="13" customFormat="false" ht="27.75" hidden="false" customHeight="true" outlineLevel="0" collapsed="false">
      <c r="B13" s="4" t="s">
        <v>9</v>
      </c>
    </row>
    <row r="14" customFormat="false" ht="15" hidden="false" customHeight="true" outlineLevel="0" collapsed="false">
      <c r="B14" s="4" t="s">
        <v>10</v>
      </c>
    </row>
    <row r="15" customFormat="false" ht="15" hidden="false" customHeight="true" outlineLevel="0" collapsed="false">
      <c r="B15" s="4" t="s">
        <v>11</v>
      </c>
    </row>
    <row r="16" customFormat="false" ht="15" hidden="false" customHeight="true" outlineLevel="0" collapsed="false">
      <c r="B16" s="4"/>
    </row>
    <row r="17" customFormat="false" ht="15" hidden="false" customHeight="true" outlineLevel="0" collapsed="false">
      <c r="B17" s="5" t="s">
        <v>12</v>
      </c>
    </row>
    <row r="18" customFormat="false" ht="15" hidden="false" customHeight="true" outlineLevel="0" collapsed="false">
      <c r="B18" s="6" t="s">
        <v>13</v>
      </c>
    </row>
    <row r="19" customFormat="false" ht="15" hidden="false" customHeight="true" outlineLevel="0" collapsed="false">
      <c r="B19" s="7" t="s">
        <v>14</v>
      </c>
    </row>
    <row r="20" customFormat="false" ht="15" hidden="false" customHeight="true" outlineLevel="0" collapsed="false">
      <c r="B20" s="8" t="s">
        <v>15</v>
      </c>
    </row>
    <row r="21" customFormat="false" ht="15" hidden="false" customHeight="true" outlineLevel="0" collapsed="false">
      <c r="B21" s="9" t="s">
        <v>16</v>
      </c>
    </row>
    <row r="22" customFormat="false" ht="15" hidden="false" customHeight="true" outlineLevel="0" collapsed="false">
      <c r="B22" s="4"/>
    </row>
    <row r="23" customFormat="false" ht="15" hidden="false" customHeight="true" outlineLevel="0" collapsed="false">
      <c r="B23" s="5" t="s">
        <v>17</v>
      </c>
    </row>
    <row r="24" customFormat="false" ht="68.25" hidden="false" customHeight="true" outlineLevel="0" collapsed="false">
      <c r="B24" s="4" t="s">
        <v>18</v>
      </c>
    </row>
    <row r="25" customFormat="false" ht="15" hidden="false" customHeight="true" outlineLevel="0" collapsed="false">
      <c r="B25" s="4"/>
    </row>
    <row r="26" customFormat="false" ht="15" hidden="false" customHeight="true" outlineLevel="0" collapsed="false">
      <c r="B26" s="5" t="s">
        <v>19</v>
      </c>
    </row>
    <row r="27" customFormat="false" ht="54.75" hidden="false" customHeight="true" outlineLevel="0" collapsed="false">
      <c r="B27" s="4" t="s">
        <v>20</v>
      </c>
    </row>
    <row r="28" customFormat="false" ht="15" hidden="false" customHeight="true" outlineLevel="0" collapsed="false">
      <c r="B28" s="4"/>
    </row>
    <row r="29" customFormat="false" ht="15" hidden="false" customHeight="true" outlineLevel="0" collapsed="false">
      <c r="B29" s="5" t="s">
        <v>21</v>
      </c>
    </row>
    <row r="30" customFormat="false" ht="81.75" hidden="false" customHeight="true" outlineLevel="0" collapsed="false">
      <c r="B30" s="4" t="s">
        <v>22</v>
      </c>
    </row>
    <row r="31" customFormat="false" ht="15" hidden="false" customHeight="true" outlineLevel="0" collapsed="false">
      <c r="B31" s="4"/>
    </row>
    <row r="32" customFormat="false" ht="15" hidden="false" customHeight="true" outlineLevel="0" collapsed="false">
      <c r="B32" s="5" t="s">
        <v>23</v>
      </c>
    </row>
    <row r="33" customFormat="false" ht="27.75" hidden="false" customHeight="true" outlineLevel="0" collapsed="false">
      <c r="B33" s="4" t="s">
        <v>24</v>
      </c>
    </row>
    <row r="34" customFormat="false" ht="15" hidden="false" customHeight="true" outlineLevel="0" collapsed="false">
      <c r="B34" s="4" t="s">
        <v>25</v>
      </c>
    </row>
    <row r="35" customFormat="false" ht="15" hidden="false" customHeight="true" outlineLevel="0" collapsed="false">
      <c r="B35" s="4" t="s">
        <v>26</v>
      </c>
    </row>
    <row r="36" customFormat="false" ht="15" hidden="false" customHeight="true" outlineLevel="0" collapsed="false">
      <c r="B36" s="4" t="s">
        <v>27</v>
      </c>
    </row>
    <row r="37" customFormat="false" ht="15" hidden="false" customHeight="true" outlineLevel="0" collapsed="false">
      <c r="B37" s="4"/>
    </row>
    <row r="38" customFormat="false" ht="23.25" hidden="false" customHeight="true" outlineLevel="0" collapsed="false">
      <c r="B38" s="10" t="s">
        <v>28</v>
      </c>
    </row>
  </sheetData>
  <mergeCells count="1">
    <mergeCell ref="A1:B1"/>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8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2" min="2" style="1" width="16"/>
    <col collapsed="false" customWidth="true" hidden="false" outlineLevel="0" max="3" min="3" style="1" width="4"/>
    <col collapsed="false" customWidth="true" hidden="false" outlineLevel="0" max="4" min="4" style="1" width="60"/>
  </cols>
  <sheetData>
    <row r="1" customFormat="false" ht="27.75" hidden="false" customHeight="true" outlineLevel="0" collapsed="false">
      <c r="A1" s="2" t="s">
        <v>29</v>
      </c>
      <c r="B1" s="2"/>
    </row>
    <row r="2" customFormat="false" ht="27.75" hidden="false" customHeight="true" outlineLevel="0" collapsed="false">
      <c r="A2" s="11" t="s">
        <v>30</v>
      </c>
      <c r="B2" s="11"/>
    </row>
    <row r="4" customFormat="false" ht="19.5" hidden="false" customHeight="true" outlineLevel="0" collapsed="false">
      <c r="A4" s="12" t="s">
        <v>31</v>
      </c>
      <c r="B4" s="12"/>
    </row>
    <row r="5" customFormat="false" ht="15" hidden="false" customHeight="true" outlineLevel="0" collapsed="false">
      <c r="A5" s="13" t="s">
        <v>32</v>
      </c>
      <c r="B5" s="14" t="n">
        <v>50</v>
      </c>
    </row>
    <row r="6" customFormat="false" ht="15" hidden="false" customHeight="true" outlineLevel="0" collapsed="false">
      <c r="A6" s="13" t="s">
        <v>33</v>
      </c>
      <c r="B6" s="15" t="n">
        <v>200</v>
      </c>
    </row>
    <row r="7" customFormat="false" ht="15" hidden="false" customHeight="true" outlineLevel="0" collapsed="false">
      <c r="A7" s="13" t="s">
        <v>34</v>
      </c>
      <c r="B7" s="16" t="n">
        <v>0.15</v>
      </c>
    </row>
    <row r="9" customFormat="false" ht="19.5" hidden="false" customHeight="true" outlineLevel="0" collapsed="false">
      <c r="A9" s="12" t="s">
        <v>35</v>
      </c>
      <c r="B9" s="12"/>
    </row>
    <row r="10" customFormat="false" ht="25.5" hidden="false" customHeight="true" outlineLevel="0" collapsed="false">
      <c r="A10" s="11" t="s">
        <v>36</v>
      </c>
      <c r="B10" s="11"/>
    </row>
    <row r="12" customFormat="false" ht="15" hidden="false" customHeight="true" outlineLevel="0" collapsed="false">
      <c r="A12" s="13" t="s">
        <v>37</v>
      </c>
      <c r="B12" s="16" t="n">
        <v>0.7</v>
      </c>
    </row>
    <row r="13" customFormat="false" ht="15" hidden="false" customHeight="true" outlineLevel="0" collapsed="false">
      <c r="A13" s="13" t="s">
        <v>38</v>
      </c>
      <c r="B13" s="16" t="n">
        <v>0.2</v>
      </c>
    </row>
    <row r="14" customFormat="false" ht="15" hidden="false" customHeight="true" outlineLevel="0" collapsed="false">
      <c r="A14" s="13" t="s">
        <v>39</v>
      </c>
      <c r="B14" s="16" t="n">
        <v>0.1</v>
      </c>
    </row>
    <row r="15" customFormat="false" ht="15" hidden="false" customHeight="true" outlineLevel="0" collapsed="false">
      <c r="A15" s="17" t="s">
        <v>40</v>
      </c>
      <c r="B15" s="18" t="n">
        <f aca="false">SUM(B12:B14)</f>
        <v>1</v>
      </c>
    </row>
    <row r="17" customFormat="false" ht="19.5" hidden="false" customHeight="true" outlineLevel="0" collapsed="false">
      <c r="A17" s="12" t="s">
        <v>41</v>
      </c>
      <c r="B17" s="12"/>
    </row>
    <row r="18" customFormat="false" ht="25.5" hidden="false" customHeight="true" outlineLevel="0" collapsed="false">
      <c r="A18" s="11" t="s">
        <v>42</v>
      </c>
      <c r="B18" s="11"/>
    </row>
    <row r="20" customFormat="false" ht="15" hidden="false" customHeight="true" outlineLevel="0" collapsed="false">
      <c r="A20" s="13" t="s">
        <v>43</v>
      </c>
      <c r="B20" s="19" t="n">
        <v>0.85</v>
      </c>
    </row>
    <row r="21" customFormat="false" ht="15" hidden="false" customHeight="true" outlineLevel="0" collapsed="false">
      <c r="A21" s="13" t="s">
        <v>44</v>
      </c>
      <c r="B21" s="19" t="n">
        <v>0.85</v>
      </c>
    </row>
    <row r="22" customFormat="false" ht="15" hidden="false" customHeight="true" outlineLevel="0" collapsed="false">
      <c r="A22" s="13" t="s">
        <v>45</v>
      </c>
      <c r="B22" s="19" t="n">
        <v>0.95</v>
      </c>
    </row>
    <row r="23" customFormat="false" ht="15" hidden="false" customHeight="true" outlineLevel="0" collapsed="false">
      <c r="A23" s="13" t="s">
        <v>46</v>
      </c>
      <c r="B23" s="19" t="n">
        <v>1</v>
      </c>
    </row>
    <row r="24" customFormat="false" ht="15" hidden="false" customHeight="true" outlineLevel="0" collapsed="false">
      <c r="A24" s="13" t="s">
        <v>47</v>
      </c>
      <c r="B24" s="19" t="n">
        <v>1</v>
      </c>
    </row>
    <row r="25" customFormat="false" ht="15" hidden="false" customHeight="true" outlineLevel="0" collapsed="false">
      <c r="A25" s="13" t="s">
        <v>48</v>
      </c>
      <c r="B25" s="19" t="n">
        <v>1.05</v>
      </c>
    </row>
    <row r="26" customFormat="false" ht="15" hidden="false" customHeight="true" outlineLevel="0" collapsed="false">
      <c r="A26" s="13" t="s">
        <v>49</v>
      </c>
      <c r="B26" s="19" t="n">
        <v>1</v>
      </c>
    </row>
    <row r="27" customFormat="false" ht="15" hidden="false" customHeight="true" outlineLevel="0" collapsed="false">
      <c r="A27" s="13" t="s">
        <v>50</v>
      </c>
      <c r="B27" s="19" t="n">
        <v>0.95</v>
      </c>
    </row>
    <row r="28" customFormat="false" ht="15" hidden="false" customHeight="true" outlineLevel="0" collapsed="false">
      <c r="A28" s="13" t="s">
        <v>51</v>
      </c>
      <c r="B28" s="19" t="n">
        <v>1</v>
      </c>
    </row>
    <row r="29" customFormat="false" ht="15" hidden="false" customHeight="true" outlineLevel="0" collapsed="false">
      <c r="A29" s="13" t="s">
        <v>52</v>
      </c>
      <c r="B29" s="19" t="n">
        <v>1.05</v>
      </c>
    </row>
    <row r="30" customFormat="false" ht="15" hidden="false" customHeight="true" outlineLevel="0" collapsed="false">
      <c r="A30" s="13" t="s">
        <v>53</v>
      </c>
      <c r="B30" s="19" t="n">
        <v>1.15</v>
      </c>
    </row>
    <row r="31" customFormat="false" ht="15" hidden="false" customHeight="true" outlineLevel="0" collapsed="false">
      <c r="A31" s="13" t="s">
        <v>54</v>
      </c>
      <c r="B31" s="19" t="n">
        <v>1.2</v>
      </c>
    </row>
    <row r="32" customFormat="false" ht="15" hidden="false" customHeight="true" outlineLevel="0" collapsed="false">
      <c r="A32" s="17" t="s">
        <v>55</v>
      </c>
      <c r="B32" s="20" t="n">
        <f aca="false">AVERAGE(B20:B31)</f>
        <v>1.00416666666667</v>
      </c>
    </row>
    <row r="34" customFormat="false" ht="19.5" hidden="false" customHeight="true" outlineLevel="0" collapsed="false">
      <c r="A34" s="12" t="s">
        <v>56</v>
      </c>
      <c r="B34" s="12"/>
    </row>
    <row r="35" customFormat="false" ht="15" hidden="false" customHeight="true" outlineLevel="0" collapsed="false">
      <c r="A35" s="13" t="s">
        <v>57</v>
      </c>
      <c r="B35" s="14" t="n">
        <v>10000</v>
      </c>
    </row>
    <row r="36" customFormat="false" ht="15" hidden="false" customHeight="true" outlineLevel="0" collapsed="false">
      <c r="A36" s="13" t="s">
        <v>58</v>
      </c>
      <c r="B36" s="14" t="n">
        <v>5000</v>
      </c>
    </row>
    <row r="37" customFormat="false" ht="15" hidden="false" customHeight="true" outlineLevel="0" collapsed="false">
      <c r="A37" s="17" t="s">
        <v>59</v>
      </c>
      <c r="B37" s="21" t="n">
        <f aca="false">B35+B36</f>
        <v>15000</v>
      </c>
    </row>
    <row r="38" customFormat="false" ht="39.75" hidden="false" customHeight="true" outlineLevel="0" collapsed="false">
      <c r="A38" s="11" t="s">
        <v>60</v>
      </c>
      <c r="B38" s="11"/>
    </row>
    <row r="40" customFormat="false" ht="19.5" hidden="false" customHeight="true" outlineLevel="0" collapsed="false">
      <c r="A40" s="12" t="s">
        <v>61</v>
      </c>
      <c r="B40" s="12"/>
    </row>
    <row r="41" customFormat="false" ht="15" hidden="false" customHeight="true" outlineLevel="0" collapsed="false">
      <c r="A41" s="13" t="s">
        <v>62</v>
      </c>
      <c r="B41" s="14" t="n">
        <v>20000</v>
      </c>
    </row>
    <row r="42" customFormat="false" ht="15" hidden="false" customHeight="true" outlineLevel="0" collapsed="false">
      <c r="A42" s="13" t="s">
        <v>63</v>
      </c>
      <c r="B42" s="14" t="n">
        <v>15000</v>
      </c>
    </row>
    <row r="43" customFormat="false" ht="15" hidden="false" customHeight="true" outlineLevel="0" collapsed="false">
      <c r="A43" s="13" t="s">
        <v>64</v>
      </c>
      <c r="B43" s="14" t="n">
        <v>10000</v>
      </c>
    </row>
    <row r="44" customFormat="false" ht="25.5" hidden="false" customHeight="true" outlineLevel="0" collapsed="false">
      <c r="A44" s="11" t="s">
        <v>65</v>
      </c>
      <c r="B44" s="11"/>
    </row>
    <row r="45" customFormat="false" ht="15" hidden="false" customHeight="true" outlineLevel="0" collapsed="false">
      <c r="A45" s="13" t="s">
        <v>66</v>
      </c>
      <c r="B45" s="16" t="n">
        <v>0.07</v>
      </c>
    </row>
    <row r="46" customFormat="false" ht="15" hidden="false" customHeight="true" outlineLevel="0" collapsed="false">
      <c r="A46" s="13" t="s">
        <v>67</v>
      </c>
      <c r="B46" s="22" t="n">
        <v>60</v>
      </c>
    </row>
    <row r="48" customFormat="false" ht="19.5" hidden="false" customHeight="true" outlineLevel="0" collapsed="false">
      <c r="A48" s="12" t="s">
        <v>68</v>
      </c>
      <c r="B48" s="12"/>
    </row>
    <row r="49" customFormat="false" ht="15" hidden="false" customHeight="true" outlineLevel="0" collapsed="false">
      <c r="A49" s="13" t="s">
        <v>69</v>
      </c>
      <c r="B49" s="14" t="n">
        <v>1800</v>
      </c>
    </row>
    <row r="50" customFormat="false" ht="15" hidden="false" customHeight="true" outlineLevel="0" collapsed="false">
      <c r="A50" s="13" t="s">
        <v>70</v>
      </c>
      <c r="B50" s="14" t="n">
        <v>250</v>
      </c>
    </row>
    <row r="51" customFormat="false" ht="15" hidden="false" customHeight="true" outlineLevel="0" collapsed="false">
      <c r="A51" s="13" t="s">
        <v>71</v>
      </c>
      <c r="B51" s="14" t="n">
        <v>3500</v>
      </c>
    </row>
    <row r="52" customFormat="false" ht="15" hidden="false" customHeight="true" outlineLevel="0" collapsed="false">
      <c r="A52" s="13" t="s">
        <v>72</v>
      </c>
      <c r="B52" s="23" t="n">
        <f aca="false">-PMT(B45/12,B46,B43)</f>
        <v>198.011985403495</v>
      </c>
    </row>
    <row r="53" customFormat="false" ht="15" hidden="false" customHeight="true" outlineLevel="0" collapsed="false">
      <c r="A53" s="13" t="s">
        <v>73</v>
      </c>
      <c r="B53" s="14" t="n">
        <v>300</v>
      </c>
    </row>
    <row r="54" customFormat="false" ht="15" hidden="false" customHeight="true" outlineLevel="0" collapsed="false">
      <c r="A54" s="17" t="s">
        <v>74</v>
      </c>
      <c r="B54" s="21" t="n">
        <f aca="false">SUM(B49:B53)</f>
        <v>6048.0119854035</v>
      </c>
    </row>
    <row r="55" customFormat="false" ht="15" hidden="false" customHeight="true" outlineLevel="0" collapsed="false">
      <c r="A55" s="13" t="s">
        <v>75</v>
      </c>
      <c r="B55" s="16" t="n">
        <v>0.03</v>
      </c>
    </row>
    <row r="57" customFormat="false" ht="19.5" hidden="false" customHeight="true" outlineLevel="0" collapsed="false">
      <c r="A57" s="12" t="s">
        <v>76</v>
      </c>
      <c r="B57" s="12"/>
    </row>
    <row r="58" customFormat="false" ht="15" hidden="false" customHeight="true" outlineLevel="0" collapsed="false">
      <c r="A58" s="13" t="s">
        <v>77</v>
      </c>
      <c r="B58" s="16" t="n">
        <v>0.27</v>
      </c>
    </row>
    <row r="59" customFormat="false" ht="15" hidden="false" customHeight="true" outlineLevel="0" collapsed="false">
      <c r="A59" s="13" t="s">
        <v>78</v>
      </c>
      <c r="B59" s="16" t="n">
        <v>0.03</v>
      </c>
    </row>
    <row r="60" customFormat="false" ht="15" hidden="false" customHeight="true" outlineLevel="0" collapsed="false">
      <c r="A60" s="13" t="s">
        <v>79</v>
      </c>
      <c r="B60" s="16" t="n">
        <v>0.02</v>
      </c>
    </row>
    <row r="61" customFormat="false" ht="15" hidden="false" customHeight="true" outlineLevel="0" collapsed="false">
      <c r="A61" s="17" t="s">
        <v>80</v>
      </c>
      <c r="B61" s="18" t="n">
        <f aca="false">SUM(B58:B60)</f>
        <v>0.32</v>
      </c>
    </row>
    <row r="63" customFormat="false" ht="19.5" hidden="false" customHeight="true" outlineLevel="0" collapsed="false">
      <c r="A63" s="12" t="s">
        <v>81</v>
      </c>
      <c r="B63" s="12"/>
    </row>
    <row r="64" customFormat="false" ht="25.5" hidden="false" customHeight="true" outlineLevel="0" collapsed="false">
      <c r="A64" s="11" t="s">
        <v>82</v>
      </c>
      <c r="B64" s="11"/>
    </row>
    <row r="65" customFormat="false" ht="15" hidden="false" customHeight="true" outlineLevel="0" collapsed="false">
      <c r="A65" s="24" t="s">
        <v>83</v>
      </c>
    </row>
    <row r="66" customFormat="false" ht="15" hidden="false" customHeight="true" outlineLevel="0" collapsed="false">
      <c r="A66" s="13" t="s">
        <v>84</v>
      </c>
      <c r="B66" s="16" t="n">
        <v>0.2</v>
      </c>
    </row>
    <row r="67" customFormat="false" ht="15" hidden="false" customHeight="true" outlineLevel="0" collapsed="false">
      <c r="A67" s="13" t="s">
        <v>85</v>
      </c>
      <c r="B67" s="16" t="n">
        <v>-0.05</v>
      </c>
    </row>
    <row r="68" customFormat="false" ht="15" hidden="false" customHeight="true" outlineLevel="0" collapsed="false">
      <c r="A68" s="25" t="s">
        <v>86</v>
      </c>
    </row>
    <row r="69" customFormat="false" ht="15" hidden="false" customHeight="true" outlineLevel="0" collapsed="false">
      <c r="A69" s="13" t="s">
        <v>84</v>
      </c>
      <c r="B69" s="16" t="n">
        <v>-0.25</v>
      </c>
    </row>
    <row r="70" customFormat="false" ht="15" hidden="false" customHeight="true" outlineLevel="0" collapsed="false">
      <c r="A70" s="13" t="s">
        <v>85</v>
      </c>
      <c r="B70" s="16" t="n">
        <v>0.1</v>
      </c>
    </row>
    <row r="72" customFormat="false" ht="60" hidden="false" customHeight="true" outlineLevel="0" collapsed="false">
      <c r="A72" s="11" t="s">
        <v>87</v>
      </c>
      <c r="B72" s="11"/>
    </row>
    <row r="75" customFormat="false" ht="19.5" hidden="false" customHeight="true" outlineLevel="0" collapsed="false">
      <c r="A75" s="12" t="s">
        <v>88</v>
      </c>
      <c r="B75" s="12"/>
    </row>
    <row r="76" customFormat="false" ht="39.75" hidden="false" customHeight="true" outlineLevel="0" collapsed="false">
      <c r="A76" s="11" t="s">
        <v>89</v>
      </c>
      <c r="B76" s="11"/>
    </row>
    <row r="78" customFormat="false" ht="15" hidden="false" customHeight="true" outlineLevel="0" collapsed="false">
      <c r="A78" s="17" t="s">
        <v>90</v>
      </c>
      <c r="B78" s="26" t="n">
        <f aca="false">B5*(1-B61)</f>
        <v>34</v>
      </c>
    </row>
    <row r="79" customFormat="false" ht="15" hidden="false" customHeight="true" outlineLevel="0" collapsed="false">
      <c r="A79" s="17" t="s">
        <v>91</v>
      </c>
      <c r="B79" s="18" t="n">
        <f aca="false">1-B61</f>
        <v>0.68</v>
      </c>
    </row>
    <row r="81" customFormat="false" ht="15" hidden="false" customHeight="true" outlineLevel="0" collapsed="false">
      <c r="A81" s="17" t="s">
        <v>92</v>
      </c>
      <c r="B81" s="27" t="n">
        <f aca="false">B54/B78</f>
        <v>177.882705453044</v>
      </c>
    </row>
    <row r="82" customFormat="false" ht="15" hidden="false" customHeight="true" outlineLevel="0" collapsed="false">
      <c r="A82" s="17" t="s">
        <v>93</v>
      </c>
      <c r="B82" s="28" t="n">
        <f aca="false">B54/B79</f>
        <v>8894.1352726522</v>
      </c>
    </row>
  </sheetData>
  <mergeCells count="18">
    <mergeCell ref="A1:B1"/>
    <mergeCell ref="A2:B2"/>
    <mergeCell ref="A4:B4"/>
    <mergeCell ref="A9:B9"/>
    <mergeCell ref="A10:B10"/>
    <mergeCell ref="A17:B17"/>
    <mergeCell ref="A18:B18"/>
    <mergeCell ref="A34:B34"/>
    <mergeCell ref="A38:B38"/>
    <mergeCell ref="A40:B40"/>
    <mergeCell ref="A44:B44"/>
    <mergeCell ref="A48:B48"/>
    <mergeCell ref="A57:B57"/>
    <mergeCell ref="A63:B63"/>
    <mergeCell ref="A64:B64"/>
    <mergeCell ref="A72:B72"/>
    <mergeCell ref="A75:B75"/>
    <mergeCell ref="A76:B76"/>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0"/>
    <col collapsed="false" customWidth="true" hidden="false" outlineLevel="0" max="2" min="2" style="1" width="18"/>
    <col collapsed="false" customWidth="true" hidden="false" outlineLevel="0" max="3" min="3" style="1" width="4"/>
    <col collapsed="false" customWidth="true" hidden="false" outlineLevel="0" max="4" min="4" style="1" width="60"/>
  </cols>
  <sheetData>
    <row r="1" customFormat="false" ht="27.75" hidden="false" customHeight="true" outlineLevel="0" collapsed="false">
      <c r="A1" s="2" t="s">
        <v>94</v>
      </c>
      <c r="B1" s="2"/>
    </row>
    <row r="2" customFormat="false" ht="39.75" hidden="false" customHeight="true" outlineLevel="0" collapsed="false">
      <c r="A2" s="11" t="s">
        <v>95</v>
      </c>
      <c r="B2" s="11"/>
    </row>
    <row r="4" customFormat="false" ht="19.5" hidden="false" customHeight="true" outlineLevel="0" collapsed="false">
      <c r="A4" s="12" t="s">
        <v>96</v>
      </c>
      <c r="B4" s="12"/>
    </row>
    <row r="5" customFormat="false" ht="15" hidden="false" customHeight="true" outlineLevel="0" collapsed="false">
      <c r="A5" s="13" t="s">
        <v>97</v>
      </c>
      <c r="B5" s="29" t="n">
        <f aca="false">Inputs!$B$41+Inputs!$B$42-Inputs!$B$35</f>
        <v>25000</v>
      </c>
    </row>
    <row r="6" customFormat="false" ht="15" hidden="false" customHeight="true" outlineLevel="0" collapsed="false">
      <c r="A6" s="13" t="s">
        <v>98</v>
      </c>
      <c r="B6" s="29" t="n">
        <f aca="false">Inputs!$B$35</f>
        <v>10000</v>
      </c>
    </row>
    <row r="7" customFormat="false" ht="15" hidden="false" customHeight="true" outlineLevel="0" collapsed="false">
      <c r="A7" s="17" t="s">
        <v>99</v>
      </c>
      <c r="B7" s="30" t="n">
        <f aca="false">B5+B6</f>
        <v>35000</v>
      </c>
    </row>
    <row r="8" customFormat="false" ht="15" hidden="false" customHeight="true" outlineLevel="0" collapsed="false">
      <c r="A8" s="11" t="str">
        <f aca="false">"  Of which, Operating Capital reserve: $"&amp;TEXT(Inputs!$B$36,"#,##0")</f>
        <v>  Of which, Operating Capital reserve: $5,000</v>
      </c>
      <c r="B8" s="11"/>
    </row>
    <row r="9" customFormat="false" ht="19.5" hidden="false" customHeight="true" outlineLevel="0" collapsed="false">
      <c r="A9" s="12" t="s">
        <v>100</v>
      </c>
      <c r="B9" s="12"/>
    </row>
    <row r="10" customFormat="false" ht="15" hidden="false" customHeight="true" outlineLevel="0" collapsed="false">
      <c r="A10" s="13" t="s">
        <v>101</v>
      </c>
      <c r="B10" s="29" t="n">
        <f aca="false">Inputs!$B$43</f>
        <v>10000</v>
      </c>
    </row>
    <row r="11" customFormat="false" ht="15" hidden="false" customHeight="true" outlineLevel="0" collapsed="false">
      <c r="A11" s="17" t="s">
        <v>102</v>
      </c>
      <c r="B11" s="30" t="n">
        <f aca="false">B10</f>
        <v>10000</v>
      </c>
    </row>
    <row r="13" customFormat="false" ht="19.5" hidden="false" customHeight="true" outlineLevel="0" collapsed="false">
      <c r="A13" s="12" t="s">
        <v>103</v>
      </c>
      <c r="B13" s="12"/>
    </row>
    <row r="14" customFormat="false" ht="15" hidden="false" customHeight="true" outlineLevel="0" collapsed="false">
      <c r="A14" s="13" t="s">
        <v>104</v>
      </c>
      <c r="B14" s="29" t="n">
        <f aca="false">Inputs!$B$41</f>
        <v>20000</v>
      </c>
    </row>
    <row r="15" customFormat="false" ht="15" hidden="false" customHeight="true" outlineLevel="0" collapsed="false">
      <c r="A15" s="13" t="s">
        <v>105</v>
      </c>
      <c r="B15" s="29" t="n">
        <f aca="false">Inputs!$B$42-Inputs!$B$43</f>
        <v>5000</v>
      </c>
    </row>
    <row r="16" customFormat="false" ht="15" hidden="false" customHeight="true" outlineLevel="0" collapsed="false">
      <c r="A16" s="13" t="s">
        <v>106</v>
      </c>
      <c r="B16" s="29" t="n">
        <v>0</v>
      </c>
    </row>
    <row r="17" customFormat="false" ht="15" hidden="false" customHeight="true" outlineLevel="0" collapsed="false">
      <c r="A17" s="17" t="s">
        <v>107</v>
      </c>
      <c r="B17" s="30" t="n">
        <f aca="false">B14+B15+B16</f>
        <v>25000</v>
      </c>
    </row>
    <row r="19" customFormat="false" ht="19.5" hidden="false" customHeight="true" outlineLevel="0" collapsed="false">
      <c r="A19" s="12" t="s">
        <v>108</v>
      </c>
      <c r="B19" s="12"/>
    </row>
    <row r="20" customFormat="false" ht="15" hidden="false" customHeight="true" outlineLevel="0" collapsed="false">
      <c r="A20" s="17" t="s">
        <v>109</v>
      </c>
      <c r="B20" s="30" t="n">
        <f aca="false">B11+B17</f>
        <v>35000</v>
      </c>
    </row>
    <row r="21" customFormat="false" ht="15" hidden="false" customHeight="true" outlineLevel="0" collapsed="false">
      <c r="A21" s="17" t="s">
        <v>110</v>
      </c>
      <c r="B21" s="31" t="n">
        <f aca="false">B7-B20</f>
        <v>0</v>
      </c>
    </row>
    <row r="23" customFormat="false" ht="75" hidden="false" customHeight="true" outlineLevel="0" collapsed="false">
      <c r="A23" s="11" t="s">
        <v>111</v>
      </c>
      <c r="B23" s="11"/>
    </row>
  </sheetData>
  <mergeCells count="8">
    <mergeCell ref="A1:B1"/>
    <mergeCell ref="A2:B2"/>
    <mergeCell ref="A4:B4"/>
    <mergeCell ref="A8:B8"/>
    <mergeCell ref="A9:B9"/>
    <mergeCell ref="A13:B13"/>
    <mergeCell ref="A19:B19"/>
    <mergeCell ref="A23:B23"/>
  </mergeCells>
  <conditionalFormatting sqref="B21">
    <cfRule type="cellIs" priority="2" operator="notEqual" aboveAverage="0" equalAverage="0" bottom="0" percent="0" rank="0" text="" dxfId="0">
      <formula>0</formula>
    </cfRule>
    <cfRule type="cellIs" priority="3" operator="equal" aboveAverage="0" equalAverage="0" bottom="0" percent="0" rank="0" text="" dxfId="1">
      <formula>0</formula>
    </cfRule>
  </conditionalFormatting>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3" min="2" style="1" width="8"/>
    <col collapsed="false" customWidth="true" hidden="false" outlineLevel="0" max="14" min="14" style="1" width="12"/>
    <col collapsed="false" customWidth="true" hidden="false" outlineLevel="0" max="26" min="15" style="1" width="8"/>
    <col collapsed="false" customWidth="true" hidden="false" outlineLevel="0" max="27" min="27" style="1" width="12"/>
    <col collapsed="false" customWidth="true" hidden="false" outlineLevel="0" max="39" min="28" style="1" width="8"/>
    <col collapsed="false" customWidth="true" hidden="false" outlineLevel="0" max="40" min="40" style="1" width="12"/>
    <col collapsed="false" customWidth="true" hidden="false" outlineLevel="0" max="41" min="41" style="1" width="14"/>
  </cols>
  <sheetData>
    <row r="1" customFormat="false" ht="27.75" hidden="false" customHeight="true" outlineLevel="0" collapsed="false">
      <c r="A1" s="2" t="s">
        <v>112</v>
      </c>
      <c r="B1" s="2"/>
      <c r="C1" s="2"/>
      <c r="D1" s="2"/>
      <c r="E1" s="2"/>
      <c r="F1" s="2"/>
      <c r="G1" s="2"/>
      <c r="H1" s="2"/>
      <c r="I1" s="2"/>
      <c r="J1" s="2"/>
      <c r="K1" s="2"/>
      <c r="L1" s="2"/>
      <c r="M1" s="2"/>
      <c r="N1" s="2"/>
      <c r="O1" s="2"/>
    </row>
    <row r="2" customFormat="false" ht="15" hidden="false" customHeight="true" outlineLevel="0" collapsed="false">
      <c r="A2" s="11" t="s">
        <v>113</v>
      </c>
      <c r="B2" s="11"/>
      <c r="C2" s="11"/>
      <c r="D2" s="11"/>
      <c r="E2" s="11"/>
      <c r="F2" s="11"/>
      <c r="G2" s="11"/>
      <c r="H2" s="11"/>
      <c r="I2" s="11"/>
      <c r="J2" s="11"/>
      <c r="K2" s="11"/>
      <c r="L2" s="11"/>
      <c r="M2" s="11"/>
      <c r="N2" s="11"/>
      <c r="O2" s="11"/>
    </row>
    <row r="3" customFormat="false" ht="15.75" hidden="false" customHeight="true" outlineLevel="0" collapsed="false">
      <c r="B3" s="32" t="s">
        <v>114</v>
      </c>
      <c r="C3" s="33" t="s">
        <v>115</v>
      </c>
      <c r="D3" s="33" t="s">
        <v>116</v>
      </c>
      <c r="E3" s="33" t="s">
        <v>117</v>
      </c>
      <c r="F3" s="33" t="s">
        <v>118</v>
      </c>
      <c r="G3" s="33" t="s">
        <v>119</v>
      </c>
      <c r="H3" s="33" t="s">
        <v>120</v>
      </c>
      <c r="I3" s="33" t="s">
        <v>121</v>
      </c>
      <c r="J3" s="33" t="s">
        <v>122</v>
      </c>
      <c r="K3" s="33" t="s">
        <v>123</v>
      </c>
      <c r="L3" s="33" t="s">
        <v>124</v>
      </c>
      <c r="M3" s="33" t="s">
        <v>125</v>
      </c>
      <c r="N3" s="34" t="s">
        <v>126</v>
      </c>
      <c r="O3" s="32" t="s">
        <v>127</v>
      </c>
      <c r="P3" s="33" t="s">
        <v>128</v>
      </c>
      <c r="Q3" s="33" t="s">
        <v>129</v>
      </c>
      <c r="R3" s="33" t="s">
        <v>130</v>
      </c>
      <c r="S3" s="33" t="s">
        <v>131</v>
      </c>
      <c r="T3" s="33" t="s">
        <v>132</v>
      </c>
      <c r="U3" s="33" t="s">
        <v>133</v>
      </c>
      <c r="V3" s="33" t="s">
        <v>134</v>
      </c>
      <c r="W3" s="33" t="s">
        <v>135</v>
      </c>
      <c r="X3" s="33" t="s">
        <v>136</v>
      </c>
      <c r="Y3" s="33" t="s">
        <v>137</v>
      </c>
      <c r="Z3" s="33" t="s">
        <v>138</v>
      </c>
      <c r="AA3" s="34" t="s">
        <v>139</v>
      </c>
      <c r="AB3" s="32" t="s">
        <v>140</v>
      </c>
      <c r="AC3" s="33" t="s">
        <v>141</v>
      </c>
      <c r="AD3" s="33" t="s">
        <v>142</v>
      </c>
      <c r="AE3" s="33" t="s">
        <v>143</v>
      </c>
      <c r="AF3" s="33" t="s">
        <v>144</v>
      </c>
      <c r="AG3" s="33" t="s">
        <v>145</v>
      </c>
      <c r="AH3" s="33" t="s">
        <v>146</v>
      </c>
      <c r="AI3" s="33" t="s">
        <v>147</v>
      </c>
      <c r="AJ3" s="33" t="s">
        <v>148</v>
      </c>
      <c r="AK3" s="33" t="s">
        <v>149</v>
      </c>
      <c r="AL3" s="33" t="s">
        <v>150</v>
      </c>
      <c r="AM3" s="33" t="s">
        <v>151</v>
      </c>
      <c r="AN3" s="34" t="s">
        <v>152</v>
      </c>
      <c r="AO3" s="33" t="s">
        <v>153</v>
      </c>
    </row>
    <row r="4" customFormat="false" ht="15" hidden="false" customHeight="true" outlineLevel="0" collapsed="false">
      <c r="A4" s="35" t="s">
        <v>154</v>
      </c>
      <c r="B4" s="36" t="s">
        <v>43</v>
      </c>
      <c r="C4" s="37" t="s">
        <v>44</v>
      </c>
      <c r="D4" s="37" t="s">
        <v>45</v>
      </c>
      <c r="E4" s="37" t="s">
        <v>46</v>
      </c>
      <c r="F4" s="37" t="s">
        <v>47</v>
      </c>
      <c r="G4" s="37" t="s">
        <v>48</v>
      </c>
      <c r="H4" s="37" t="s">
        <v>49</v>
      </c>
      <c r="I4" s="37" t="s">
        <v>50</v>
      </c>
      <c r="J4" s="37" t="s">
        <v>51</v>
      </c>
      <c r="K4" s="37" t="s">
        <v>52</v>
      </c>
      <c r="L4" s="37" t="s">
        <v>53</v>
      </c>
      <c r="M4" s="37" t="s">
        <v>54</v>
      </c>
      <c r="O4" s="36" t="s">
        <v>43</v>
      </c>
      <c r="P4" s="37" t="s">
        <v>44</v>
      </c>
      <c r="Q4" s="37" t="s">
        <v>45</v>
      </c>
      <c r="R4" s="37" t="s">
        <v>46</v>
      </c>
      <c r="S4" s="37" t="s">
        <v>47</v>
      </c>
      <c r="T4" s="37" t="s">
        <v>48</v>
      </c>
      <c r="U4" s="37" t="s">
        <v>49</v>
      </c>
      <c r="V4" s="37" t="s">
        <v>50</v>
      </c>
      <c r="W4" s="37" t="s">
        <v>51</v>
      </c>
      <c r="X4" s="37" t="s">
        <v>52</v>
      </c>
      <c r="Y4" s="37" t="s">
        <v>53</v>
      </c>
      <c r="Z4" s="37" t="s">
        <v>54</v>
      </c>
      <c r="AB4" s="36" t="s">
        <v>43</v>
      </c>
      <c r="AC4" s="37" t="s">
        <v>44</v>
      </c>
      <c r="AD4" s="37" t="s">
        <v>45</v>
      </c>
      <c r="AE4" s="37" t="s">
        <v>46</v>
      </c>
      <c r="AF4" s="37" t="s">
        <v>47</v>
      </c>
      <c r="AG4" s="37" t="s">
        <v>48</v>
      </c>
      <c r="AH4" s="37" t="s">
        <v>49</v>
      </c>
      <c r="AI4" s="37" t="s">
        <v>50</v>
      </c>
      <c r="AJ4" s="37" t="s">
        <v>51</v>
      </c>
      <c r="AK4" s="37" t="s">
        <v>52</v>
      </c>
      <c r="AL4" s="37" t="s">
        <v>53</v>
      </c>
      <c r="AM4" s="37" t="s">
        <v>54</v>
      </c>
    </row>
    <row r="5" customFormat="false" ht="15" hidden="false" customHeight="true" outlineLevel="0" collapsed="false">
      <c r="A5" s="8" t="s">
        <v>155</v>
      </c>
      <c r="B5" s="38" t="n">
        <f aca="false">INDEX(Inputs!$B$20:$B$31,1)</f>
        <v>0.85</v>
      </c>
      <c r="C5" s="39" t="n">
        <f aca="false">INDEX(Inputs!$B$20:$B$31,2)</f>
        <v>0.85</v>
      </c>
      <c r="D5" s="39" t="n">
        <f aca="false">INDEX(Inputs!$B$20:$B$31,3)</f>
        <v>0.95</v>
      </c>
      <c r="E5" s="39" t="n">
        <f aca="false">INDEX(Inputs!$B$20:$B$31,4)</f>
        <v>1</v>
      </c>
      <c r="F5" s="39" t="n">
        <f aca="false">INDEX(Inputs!$B$20:$B$31,5)</f>
        <v>1</v>
      </c>
      <c r="G5" s="39" t="n">
        <f aca="false">INDEX(Inputs!$B$20:$B$31,6)</f>
        <v>1.05</v>
      </c>
      <c r="H5" s="39" t="n">
        <f aca="false">INDEX(Inputs!$B$20:$B$31,7)</f>
        <v>1</v>
      </c>
      <c r="I5" s="39" t="n">
        <f aca="false">INDEX(Inputs!$B$20:$B$31,8)</f>
        <v>0.95</v>
      </c>
      <c r="J5" s="39" t="n">
        <f aca="false">INDEX(Inputs!$B$20:$B$31,9)</f>
        <v>1</v>
      </c>
      <c r="K5" s="39" t="n">
        <f aca="false">INDEX(Inputs!$B$20:$B$31,10)</f>
        <v>1.05</v>
      </c>
      <c r="L5" s="39" t="n">
        <f aca="false">INDEX(Inputs!$B$20:$B$31,11)</f>
        <v>1.15</v>
      </c>
      <c r="M5" s="39" t="n">
        <f aca="false">INDEX(Inputs!$B$20:$B$31,12)</f>
        <v>1.2</v>
      </c>
      <c r="O5" s="38" t="n">
        <f aca="false">INDEX(Inputs!$B$20:$B$31,1)</f>
        <v>0.85</v>
      </c>
      <c r="P5" s="39" t="n">
        <f aca="false">INDEX(Inputs!$B$20:$B$31,2)</f>
        <v>0.85</v>
      </c>
      <c r="Q5" s="39" t="n">
        <f aca="false">INDEX(Inputs!$B$20:$B$31,3)</f>
        <v>0.95</v>
      </c>
      <c r="R5" s="39" t="n">
        <f aca="false">INDEX(Inputs!$B$20:$B$31,4)</f>
        <v>1</v>
      </c>
      <c r="S5" s="39" t="n">
        <f aca="false">INDEX(Inputs!$B$20:$B$31,5)</f>
        <v>1</v>
      </c>
      <c r="T5" s="39" t="n">
        <f aca="false">INDEX(Inputs!$B$20:$B$31,6)</f>
        <v>1.05</v>
      </c>
      <c r="U5" s="39" t="n">
        <f aca="false">INDEX(Inputs!$B$20:$B$31,7)</f>
        <v>1</v>
      </c>
      <c r="V5" s="39" t="n">
        <f aca="false">INDEX(Inputs!$B$20:$B$31,8)</f>
        <v>0.95</v>
      </c>
      <c r="W5" s="39" t="n">
        <f aca="false">INDEX(Inputs!$B$20:$B$31,9)</f>
        <v>1</v>
      </c>
      <c r="X5" s="39" t="n">
        <f aca="false">INDEX(Inputs!$B$20:$B$31,10)</f>
        <v>1.05</v>
      </c>
      <c r="Y5" s="39" t="n">
        <f aca="false">INDEX(Inputs!$B$20:$B$31,11)</f>
        <v>1.15</v>
      </c>
      <c r="Z5" s="39" t="n">
        <f aca="false">INDEX(Inputs!$B$20:$B$31,12)</f>
        <v>1.2</v>
      </c>
      <c r="AB5" s="38" t="n">
        <f aca="false">INDEX(Inputs!$B$20:$B$31,1)</f>
        <v>0.85</v>
      </c>
      <c r="AC5" s="39" t="n">
        <f aca="false">INDEX(Inputs!$B$20:$B$31,2)</f>
        <v>0.85</v>
      </c>
      <c r="AD5" s="39" t="n">
        <f aca="false">INDEX(Inputs!$B$20:$B$31,3)</f>
        <v>0.95</v>
      </c>
      <c r="AE5" s="39" t="n">
        <f aca="false">INDEX(Inputs!$B$20:$B$31,4)</f>
        <v>1</v>
      </c>
      <c r="AF5" s="39" t="n">
        <f aca="false">INDEX(Inputs!$B$20:$B$31,5)</f>
        <v>1</v>
      </c>
      <c r="AG5" s="39" t="n">
        <f aca="false">INDEX(Inputs!$B$20:$B$31,6)</f>
        <v>1.05</v>
      </c>
      <c r="AH5" s="39" t="n">
        <f aca="false">INDEX(Inputs!$B$20:$B$31,7)</f>
        <v>1</v>
      </c>
      <c r="AI5" s="39" t="n">
        <f aca="false">INDEX(Inputs!$B$20:$B$31,8)</f>
        <v>0.95</v>
      </c>
      <c r="AJ5" s="39" t="n">
        <f aca="false">INDEX(Inputs!$B$20:$B$31,9)</f>
        <v>1</v>
      </c>
      <c r="AK5" s="39" t="n">
        <f aca="false">INDEX(Inputs!$B$20:$B$31,10)</f>
        <v>1.05</v>
      </c>
      <c r="AL5" s="39" t="n">
        <f aca="false">INDEX(Inputs!$B$20:$B$31,11)</f>
        <v>1.15</v>
      </c>
      <c r="AM5" s="39" t="n">
        <f aca="false">INDEX(Inputs!$B$20:$B$31,12)</f>
        <v>1.2</v>
      </c>
    </row>
    <row r="6" customFormat="false" ht="15" hidden="false" customHeight="true" outlineLevel="0" collapsed="false">
      <c r="A6" s="8" t="s">
        <v>156</v>
      </c>
      <c r="B6" s="40" t="n">
        <f aca="false">Inputs!$B$6*(1+Inputs!$B$7)^(1-1)*B5</f>
        <v>170</v>
      </c>
      <c r="C6" s="41" t="n">
        <f aca="false">Inputs!$B$6*(1+Inputs!$B$7)^(1-1)*C5</f>
        <v>170</v>
      </c>
      <c r="D6" s="41" t="n">
        <f aca="false">Inputs!$B$6*(1+Inputs!$B$7)^(1-1)*D5</f>
        <v>190</v>
      </c>
      <c r="E6" s="41" t="n">
        <f aca="false">Inputs!$B$6*(1+Inputs!$B$7)^(1-1)*E5</f>
        <v>200</v>
      </c>
      <c r="F6" s="41" t="n">
        <f aca="false">Inputs!$B$6*(1+Inputs!$B$7)^(1-1)*F5</f>
        <v>200</v>
      </c>
      <c r="G6" s="41" t="n">
        <f aca="false">Inputs!$B$6*(1+Inputs!$B$7)^(1-1)*G5</f>
        <v>210</v>
      </c>
      <c r="H6" s="41" t="n">
        <f aca="false">Inputs!$B$6*(1+Inputs!$B$7)^(1-1)*H5</f>
        <v>200</v>
      </c>
      <c r="I6" s="41" t="n">
        <f aca="false">Inputs!$B$6*(1+Inputs!$B$7)^(1-1)*I5</f>
        <v>190</v>
      </c>
      <c r="J6" s="41" t="n">
        <f aca="false">Inputs!$B$6*(1+Inputs!$B$7)^(1-1)*J5</f>
        <v>200</v>
      </c>
      <c r="K6" s="41" t="n">
        <f aca="false">Inputs!$B$6*(1+Inputs!$B$7)^(1-1)*K5</f>
        <v>210</v>
      </c>
      <c r="L6" s="41" t="n">
        <f aca="false">Inputs!$B$6*(1+Inputs!$B$7)^(1-1)*L5</f>
        <v>230</v>
      </c>
      <c r="M6" s="41" t="n">
        <f aca="false">Inputs!$B$6*(1+Inputs!$B$7)^(1-1)*M5</f>
        <v>240</v>
      </c>
      <c r="N6" s="42" t="n">
        <f aca="false">SUM(B6:M6)</f>
        <v>2410</v>
      </c>
      <c r="O6" s="40" t="n">
        <f aca="false">Inputs!$B$6*(1+Inputs!$B$7)^(2-1)*O5</f>
        <v>195.5</v>
      </c>
      <c r="P6" s="41" t="n">
        <f aca="false">Inputs!$B$6*(1+Inputs!$B$7)^(2-1)*P5</f>
        <v>195.5</v>
      </c>
      <c r="Q6" s="41" t="n">
        <f aca="false">Inputs!$B$6*(1+Inputs!$B$7)^(2-1)*Q5</f>
        <v>218.5</v>
      </c>
      <c r="R6" s="41" t="n">
        <f aca="false">Inputs!$B$6*(1+Inputs!$B$7)^(2-1)*R5</f>
        <v>230</v>
      </c>
      <c r="S6" s="41" t="n">
        <f aca="false">Inputs!$B$6*(1+Inputs!$B$7)^(2-1)*S5</f>
        <v>230</v>
      </c>
      <c r="T6" s="41" t="n">
        <f aca="false">Inputs!$B$6*(1+Inputs!$B$7)^(2-1)*T5</f>
        <v>241.5</v>
      </c>
      <c r="U6" s="41" t="n">
        <f aca="false">Inputs!$B$6*(1+Inputs!$B$7)^(2-1)*U5</f>
        <v>230</v>
      </c>
      <c r="V6" s="41" t="n">
        <f aca="false">Inputs!$B$6*(1+Inputs!$B$7)^(2-1)*V5</f>
        <v>218.5</v>
      </c>
      <c r="W6" s="41" t="n">
        <f aca="false">Inputs!$B$6*(1+Inputs!$B$7)^(2-1)*W5</f>
        <v>230</v>
      </c>
      <c r="X6" s="41" t="n">
        <f aca="false">Inputs!$B$6*(1+Inputs!$B$7)^(2-1)*X5</f>
        <v>241.5</v>
      </c>
      <c r="Y6" s="41" t="n">
        <f aca="false">Inputs!$B$6*(1+Inputs!$B$7)^(2-1)*Y5</f>
        <v>264.5</v>
      </c>
      <c r="Z6" s="41" t="n">
        <f aca="false">Inputs!$B$6*(1+Inputs!$B$7)^(2-1)*Z5</f>
        <v>276</v>
      </c>
      <c r="AA6" s="42" t="n">
        <f aca="false">SUM(O6:Z6)</f>
        <v>2771.5</v>
      </c>
      <c r="AB6" s="40" t="n">
        <f aca="false">Inputs!$B$6*(1+Inputs!$B$7)^(3-1)*AB5</f>
        <v>224.825</v>
      </c>
      <c r="AC6" s="41" t="n">
        <f aca="false">Inputs!$B$6*(1+Inputs!$B$7)^(3-1)*AC5</f>
        <v>224.825</v>
      </c>
      <c r="AD6" s="41" t="n">
        <f aca="false">Inputs!$B$6*(1+Inputs!$B$7)^(3-1)*AD5</f>
        <v>251.275</v>
      </c>
      <c r="AE6" s="41" t="n">
        <f aca="false">Inputs!$B$6*(1+Inputs!$B$7)^(3-1)*AE5</f>
        <v>264.5</v>
      </c>
      <c r="AF6" s="41" t="n">
        <f aca="false">Inputs!$B$6*(1+Inputs!$B$7)^(3-1)*AF5</f>
        <v>264.5</v>
      </c>
      <c r="AG6" s="41" t="n">
        <f aca="false">Inputs!$B$6*(1+Inputs!$B$7)^(3-1)*AG5</f>
        <v>277.725</v>
      </c>
      <c r="AH6" s="41" t="n">
        <f aca="false">Inputs!$B$6*(1+Inputs!$B$7)^(3-1)*AH5</f>
        <v>264.5</v>
      </c>
      <c r="AI6" s="41" t="n">
        <f aca="false">Inputs!$B$6*(1+Inputs!$B$7)^(3-1)*AI5</f>
        <v>251.275</v>
      </c>
      <c r="AJ6" s="41" t="n">
        <f aca="false">Inputs!$B$6*(1+Inputs!$B$7)^(3-1)*AJ5</f>
        <v>264.5</v>
      </c>
      <c r="AK6" s="41" t="n">
        <f aca="false">Inputs!$B$6*(1+Inputs!$B$7)^(3-1)*AK5</f>
        <v>277.725</v>
      </c>
      <c r="AL6" s="41" t="n">
        <f aca="false">Inputs!$B$6*(1+Inputs!$B$7)^(3-1)*AL5</f>
        <v>304.175</v>
      </c>
      <c r="AM6" s="41" t="n">
        <f aca="false">Inputs!$B$6*(1+Inputs!$B$7)^(3-1)*AM5</f>
        <v>317.4</v>
      </c>
      <c r="AN6" s="42" t="n">
        <f aca="false">SUM(AB6:AM6)</f>
        <v>3187.225</v>
      </c>
      <c r="AO6" s="43" t="n">
        <f aca="false">SUM(N6,AA6,AN6)</f>
        <v>8368.725</v>
      </c>
    </row>
    <row r="7" customFormat="false" ht="15" hidden="false" customHeight="true" outlineLevel="0" collapsed="false">
      <c r="A7" s="8" t="s">
        <v>157</v>
      </c>
      <c r="B7" s="44" t="n">
        <f aca="false">Inputs!$B$5</f>
        <v>50</v>
      </c>
      <c r="C7" s="45" t="n">
        <f aca="false">Inputs!$B$5</f>
        <v>50</v>
      </c>
      <c r="D7" s="45" t="n">
        <f aca="false">Inputs!$B$5</f>
        <v>50</v>
      </c>
      <c r="E7" s="45" t="n">
        <f aca="false">Inputs!$B$5</f>
        <v>50</v>
      </c>
      <c r="F7" s="45" t="n">
        <f aca="false">Inputs!$B$5</f>
        <v>50</v>
      </c>
      <c r="G7" s="45" t="n">
        <f aca="false">Inputs!$B$5</f>
        <v>50</v>
      </c>
      <c r="H7" s="45" t="n">
        <f aca="false">Inputs!$B$5</f>
        <v>50</v>
      </c>
      <c r="I7" s="45" t="n">
        <f aca="false">Inputs!$B$5</f>
        <v>50</v>
      </c>
      <c r="J7" s="45" t="n">
        <f aca="false">Inputs!$B$5</f>
        <v>50</v>
      </c>
      <c r="K7" s="45" t="n">
        <f aca="false">Inputs!$B$5</f>
        <v>50</v>
      </c>
      <c r="L7" s="45" t="n">
        <f aca="false">Inputs!$B$5</f>
        <v>50</v>
      </c>
      <c r="M7" s="45" t="n">
        <f aca="false">Inputs!$B$5</f>
        <v>50</v>
      </c>
      <c r="O7" s="44" t="n">
        <f aca="false">Inputs!$B$5</f>
        <v>50</v>
      </c>
      <c r="P7" s="45" t="n">
        <f aca="false">Inputs!$B$5</f>
        <v>50</v>
      </c>
      <c r="Q7" s="45" t="n">
        <f aca="false">Inputs!$B$5</f>
        <v>50</v>
      </c>
      <c r="R7" s="45" t="n">
        <f aca="false">Inputs!$B$5</f>
        <v>50</v>
      </c>
      <c r="S7" s="45" t="n">
        <f aca="false">Inputs!$B$5</f>
        <v>50</v>
      </c>
      <c r="T7" s="45" t="n">
        <f aca="false">Inputs!$B$5</f>
        <v>50</v>
      </c>
      <c r="U7" s="45" t="n">
        <f aca="false">Inputs!$B$5</f>
        <v>50</v>
      </c>
      <c r="V7" s="45" t="n">
        <f aca="false">Inputs!$B$5</f>
        <v>50</v>
      </c>
      <c r="W7" s="45" t="n">
        <f aca="false">Inputs!$B$5</f>
        <v>50</v>
      </c>
      <c r="X7" s="45" t="n">
        <f aca="false">Inputs!$B$5</f>
        <v>50</v>
      </c>
      <c r="Y7" s="45" t="n">
        <f aca="false">Inputs!$B$5</f>
        <v>50</v>
      </c>
      <c r="Z7" s="45" t="n">
        <f aca="false">Inputs!$B$5</f>
        <v>50</v>
      </c>
      <c r="AB7" s="44" t="n">
        <f aca="false">Inputs!$B$5</f>
        <v>50</v>
      </c>
      <c r="AC7" s="45" t="n">
        <f aca="false">Inputs!$B$5</f>
        <v>50</v>
      </c>
      <c r="AD7" s="45" t="n">
        <f aca="false">Inputs!$B$5</f>
        <v>50</v>
      </c>
      <c r="AE7" s="45" t="n">
        <f aca="false">Inputs!$B$5</f>
        <v>50</v>
      </c>
      <c r="AF7" s="45" t="n">
        <f aca="false">Inputs!$B$5</f>
        <v>50</v>
      </c>
      <c r="AG7" s="45" t="n">
        <f aca="false">Inputs!$B$5</f>
        <v>50</v>
      </c>
      <c r="AH7" s="45" t="n">
        <f aca="false">Inputs!$B$5</f>
        <v>50</v>
      </c>
      <c r="AI7" s="45" t="n">
        <f aca="false">Inputs!$B$5</f>
        <v>50</v>
      </c>
      <c r="AJ7" s="45" t="n">
        <f aca="false">Inputs!$B$5</f>
        <v>50</v>
      </c>
      <c r="AK7" s="45" t="n">
        <f aca="false">Inputs!$B$5</f>
        <v>50</v>
      </c>
      <c r="AL7" s="45" t="n">
        <f aca="false">Inputs!$B$5</f>
        <v>50</v>
      </c>
      <c r="AM7" s="45" t="n">
        <f aca="false">Inputs!$B$5</f>
        <v>50</v>
      </c>
    </row>
    <row r="8" customFormat="false" ht="15" hidden="false" customHeight="true" outlineLevel="0" collapsed="false">
      <c r="A8" s="46" t="s">
        <v>158</v>
      </c>
      <c r="B8" s="47" t="n">
        <f aca="false">B6*B7</f>
        <v>8500</v>
      </c>
      <c r="C8" s="48" t="n">
        <f aca="false">C6*C7</f>
        <v>8500</v>
      </c>
      <c r="D8" s="48" t="n">
        <f aca="false">D6*D7</f>
        <v>9500</v>
      </c>
      <c r="E8" s="48" t="n">
        <f aca="false">E6*E7</f>
        <v>10000</v>
      </c>
      <c r="F8" s="48" t="n">
        <f aca="false">F6*F7</f>
        <v>10000</v>
      </c>
      <c r="G8" s="48" t="n">
        <f aca="false">G6*G7</f>
        <v>10500</v>
      </c>
      <c r="H8" s="48" t="n">
        <f aca="false">H6*H7</f>
        <v>10000</v>
      </c>
      <c r="I8" s="48" t="n">
        <f aca="false">I6*I7</f>
        <v>9500</v>
      </c>
      <c r="J8" s="48" t="n">
        <f aca="false">J6*J7</f>
        <v>10000</v>
      </c>
      <c r="K8" s="48" t="n">
        <f aca="false">K6*K7</f>
        <v>10500</v>
      </c>
      <c r="L8" s="48" t="n">
        <f aca="false">L6*L7</f>
        <v>11500</v>
      </c>
      <c r="M8" s="48" t="n">
        <f aca="false">M6*M7</f>
        <v>12000</v>
      </c>
      <c r="N8" s="49" t="n">
        <f aca="false">SUM(B8:M8)</f>
        <v>120500</v>
      </c>
      <c r="O8" s="47" t="n">
        <f aca="false">O6*O7</f>
        <v>9775</v>
      </c>
      <c r="P8" s="48" t="n">
        <f aca="false">P6*P7</f>
        <v>9775</v>
      </c>
      <c r="Q8" s="48" t="n">
        <f aca="false">Q6*Q7</f>
        <v>10925</v>
      </c>
      <c r="R8" s="48" t="n">
        <f aca="false">R6*R7</f>
        <v>11500</v>
      </c>
      <c r="S8" s="48" t="n">
        <f aca="false">S6*S7</f>
        <v>11500</v>
      </c>
      <c r="T8" s="48" t="n">
        <f aca="false">T6*T7</f>
        <v>12075</v>
      </c>
      <c r="U8" s="48" t="n">
        <f aca="false">U6*U7</f>
        <v>11500</v>
      </c>
      <c r="V8" s="48" t="n">
        <f aca="false">V6*V7</f>
        <v>10925</v>
      </c>
      <c r="W8" s="48" t="n">
        <f aca="false">W6*W7</f>
        <v>11500</v>
      </c>
      <c r="X8" s="48" t="n">
        <f aca="false">X6*X7</f>
        <v>12075</v>
      </c>
      <c r="Y8" s="48" t="n">
        <f aca="false">Y6*Y7</f>
        <v>13225</v>
      </c>
      <c r="Z8" s="48" t="n">
        <f aca="false">Z6*Z7</f>
        <v>13800</v>
      </c>
      <c r="AA8" s="49" t="n">
        <f aca="false">SUM(O8:Z8)</f>
        <v>138575</v>
      </c>
      <c r="AB8" s="47" t="n">
        <f aca="false">AB6*AB7</f>
        <v>11241.25</v>
      </c>
      <c r="AC8" s="48" t="n">
        <f aca="false">AC6*AC7</f>
        <v>11241.25</v>
      </c>
      <c r="AD8" s="48" t="n">
        <f aca="false">AD6*AD7</f>
        <v>12563.75</v>
      </c>
      <c r="AE8" s="48" t="n">
        <f aca="false">AE6*AE7</f>
        <v>13225</v>
      </c>
      <c r="AF8" s="48" t="n">
        <f aca="false">AF6*AF7</f>
        <v>13225</v>
      </c>
      <c r="AG8" s="48" t="n">
        <f aca="false">AG6*AG7</f>
        <v>13886.25</v>
      </c>
      <c r="AH8" s="48" t="n">
        <f aca="false">AH6*AH7</f>
        <v>13225</v>
      </c>
      <c r="AI8" s="48" t="n">
        <f aca="false">AI6*AI7</f>
        <v>12563.75</v>
      </c>
      <c r="AJ8" s="48" t="n">
        <f aca="false">AJ6*AJ7</f>
        <v>13225</v>
      </c>
      <c r="AK8" s="48" t="n">
        <f aca="false">AK6*AK7</f>
        <v>13886.25</v>
      </c>
      <c r="AL8" s="48" t="n">
        <f aca="false">AL6*AL7</f>
        <v>15208.75</v>
      </c>
      <c r="AM8" s="48" t="n">
        <f aca="false">AM6*AM7</f>
        <v>15870</v>
      </c>
      <c r="AN8" s="49" t="n">
        <f aca="false">SUM(AB8:AM8)</f>
        <v>159361.25</v>
      </c>
      <c r="AO8" s="50" t="n">
        <f aca="false">SUM(N8,AA8,AN8)</f>
        <v>418436.25</v>
      </c>
    </row>
    <row r="10" customFormat="false" ht="25.5" hidden="false" customHeight="true" outlineLevel="0" collapsed="false">
      <c r="A10" s="11" t="s">
        <v>159</v>
      </c>
      <c r="B10" s="11"/>
      <c r="C10" s="11"/>
      <c r="D10" s="11"/>
      <c r="E10" s="11"/>
      <c r="F10" s="11"/>
      <c r="G10" s="11"/>
      <c r="H10" s="11"/>
      <c r="I10" s="11"/>
      <c r="J10" s="11"/>
      <c r="K10" s="11"/>
      <c r="L10" s="11"/>
      <c r="M10" s="11"/>
      <c r="N10" s="11"/>
      <c r="O10" s="11"/>
    </row>
  </sheetData>
  <mergeCells count="3">
    <mergeCell ref="A1:O1"/>
    <mergeCell ref="A2:O2"/>
    <mergeCell ref="A10:O10"/>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O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13" min="2" style="1" width="8"/>
    <col collapsed="false" customWidth="true" hidden="false" outlineLevel="0" max="14" min="14" style="1" width="12"/>
    <col collapsed="false" customWidth="true" hidden="false" outlineLevel="0" max="26" min="15" style="1" width="8"/>
    <col collapsed="false" customWidth="true" hidden="false" outlineLevel="0" max="27" min="27" style="1" width="12"/>
    <col collapsed="false" customWidth="true" hidden="false" outlineLevel="0" max="39" min="28" style="1" width="8"/>
    <col collapsed="false" customWidth="true" hidden="false" outlineLevel="0" max="40" min="40" style="1" width="12"/>
    <col collapsed="false" customWidth="true" hidden="false" outlineLevel="0" max="41" min="41" style="1" width="14"/>
  </cols>
  <sheetData>
    <row r="1" customFormat="false" ht="27.75" hidden="false" customHeight="true" outlineLevel="0" collapsed="false">
      <c r="A1" s="2" t="s">
        <v>160</v>
      </c>
      <c r="B1" s="2"/>
      <c r="C1" s="2"/>
      <c r="D1" s="2"/>
      <c r="E1" s="2"/>
      <c r="F1" s="2"/>
      <c r="G1" s="2"/>
      <c r="H1" s="2"/>
      <c r="I1" s="2"/>
      <c r="J1" s="2"/>
      <c r="K1" s="2"/>
      <c r="L1" s="2"/>
      <c r="M1" s="2"/>
      <c r="N1" s="2"/>
      <c r="O1" s="2"/>
    </row>
    <row r="2" customFormat="false" ht="15" hidden="false" customHeight="true" outlineLevel="0" collapsed="false">
      <c r="A2" s="11" t="s">
        <v>161</v>
      </c>
      <c r="B2" s="11"/>
      <c r="C2" s="11"/>
      <c r="D2" s="11"/>
      <c r="E2" s="11"/>
      <c r="F2" s="11"/>
      <c r="G2" s="11"/>
      <c r="H2" s="11"/>
      <c r="I2" s="11"/>
      <c r="J2" s="11"/>
      <c r="K2" s="11"/>
      <c r="L2" s="11"/>
      <c r="M2" s="11"/>
      <c r="N2" s="11"/>
      <c r="O2" s="11"/>
    </row>
    <row r="3" customFormat="false" ht="15.75" hidden="false" customHeight="true" outlineLevel="0" collapsed="false">
      <c r="B3" s="32" t="s">
        <v>114</v>
      </c>
      <c r="C3" s="33" t="s">
        <v>115</v>
      </c>
      <c r="D3" s="33" t="s">
        <v>116</v>
      </c>
      <c r="E3" s="33" t="s">
        <v>117</v>
      </c>
      <c r="F3" s="33" t="s">
        <v>118</v>
      </c>
      <c r="G3" s="33" t="s">
        <v>119</v>
      </c>
      <c r="H3" s="33" t="s">
        <v>120</v>
      </c>
      <c r="I3" s="33" t="s">
        <v>121</v>
      </c>
      <c r="J3" s="33" t="s">
        <v>122</v>
      </c>
      <c r="K3" s="33" t="s">
        <v>123</v>
      </c>
      <c r="L3" s="33" t="s">
        <v>124</v>
      </c>
      <c r="M3" s="33" t="s">
        <v>125</v>
      </c>
      <c r="N3" s="34" t="s">
        <v>126</v>
      </c>
      <c r="O3" s="32" t="s">
        <v>127</v>
      </c>
      <c r="P3" s="33" t="s">
        <v>128</v>
      </c>
      <c r="Q3" s="33" t="s">
        <v>129</v>
      </c>
      <c r="R3" s="33" t="s">
        <v>130</v>
      </c>
      <c r="S3" s="33" t="s">
        <v>131</v>
      </c>
      <c r="T3" s="33" t="s">
        <v>132</v>
      </c>
      <c r="U3" s="33" t="s">
        <v>133</v>
      </c>
      <c r="V3" s="33" t="s">
        <v>134</v>
      </c>
      <c r="W3" s="33" t="s">
        <v>135</v>
      </c>
      <c r="X3" s="33" t="s">
        <v>136</v>
      </c>
      <c r="Y3" s="33" t="s">
        <v>137</v>
      </c>
      <c r="Z3" s="33" t="s">
        <v>138</v>
      </c>
      <c r="AA3" s="34" t="s">
        <v>139</v>
      </c>
      <c r="AB3" s="32" t="s">
        <v>140</v>
      </c>
      <c r="AC3" s="33" t="s">
        <v>141</v>
      </c>
      <c r="AD3" s="33" t="s">
        <v>142</v>
      </c>
      <c r="AE3" s="33" t="s">
        <v>143</v>
      </c>
      <c r="AF3" s="33" t="s">
        <v>144</v>
      </c>
      <c r="AG3" s="33" t="s">
        <v>145</v>
      </c>
      <c r="AH3" s="33" t="s">
        <v>146</v>
      </c>
      <c r="AI3" s="33" t="s">
        <v>147</v>
      </c>
      <c r="AJ3" s="33" t="s">
        <v>148</v>
      </c>
      <c r="AK3" s="33" t="s">
        <v>149</v>
      </c>
      <c r="AL3" s="33" t="s">
        <v>150</v>
      </c>
      <c r="AM3" s="33" t="s">
        <v>151</v>
      </c>
      <c r="AN3" s="34" t="s">
        <v>152</v>
      </c>
      <c r="AO3" s="33" t="s">
        <v>153</v>
      </c>
    </row>
    <row r="4" customFormat="false" ht="15" hidden="false" customHeight="true" outlineLevel="0" collapsed="false">
      <c r="A4" s="8" t="s">
        <v>162</v>
      </c>
      <c r="B4" s="44" t="n">
        <f aca="false">Inputs!$B$54*(1+Inputs!$B$55)^(1-1)</f>
        <v>6048.0119854035</v>
      </c>
      <c r="C4" s="45" t="n">
        <f aca="false">Inputs!$B$54*(1+Inputs!$B$55)^(1-1)</f>
        <v>6048.0119854035</v>
      </c>
      <c r="D4" s="45" t="n">
        <f aca="false">Inputs!$B$54*(1+Inputs!$B$55)^(1-1)</f>
        <v>6048.0119854035</v>
      </c>
      <c r="E4" s="45" t="n">
        <f aca="false">Inputs!$B$54*(1+Inputs!$B$55)^(1-1)</f>
        <v>6048.0119854035</v>
      </c>
      <c r="F4" s="45" t="n">
        <f aca="false">Inputs!$B$54*(1+Inputs!$B$55)^(1-1)</f>
        <v>6048.0119854035</v>
      </c>
      <c r="G4" s="45" t="n">
        <f aca="false">Inputs!$B$54*(1+Inputs!$B$55)^(1-1)</f>
        <v>6048.0119854035</v>
      </c>
      <c r="H4" s="45" t="n">
        <f aca="false">Inputs!$B$54*(1+Inputs!$B$55)^(1-1)</f>
        <v>6048.0119854035</v>
      </c>
      <c r="I4" s="45" t="n">
        <f aca="false">Inputs!$B$54*(1+Inputs!$B$55)^(1-1)</f>
        <v>6048.0119854035</v>
      </c>
      <c r="J4" s="45" t="n">
        <f aca="false">Inputs!$B$54*(1+Inputs!$B$55)^(1-1)</f>
        <v>6048.0119854035</v>
      </c>
      <c r="K4" s="45" t="n">
        <f aca="false">Inputs!$B$54*(1+Inputs!$B$55)^(1-1)</f>
        <v>6048.0119854035</v>
      </c>
      <c r="L4" s="45" t="n">
        <f aca="false">Inputs!$B$54*(1+Inputs!$B$55)^(1-1)</f>
        <v>6048.0119854035</v>
      </c>
      <c r="M4" s="45" t="n">
        <f aca="false">Inputs!$B$54*(1+Inputs!$B$55)^(1-1)</f>
        <v>6048.0119854035</v>
      </c>
      <c r="N4" s="51" t="n">
        <f aca="false">SUM(B4:M4)</f>
        <v>72576.143824842</v>
      </c>
      <c r="O4" s="44" t="n">
        <f aca="false">Inputs!$B$54*(1+Inputs!$B$55)^(2-1)</f>
        <v>6229.4523449656</v>
      </c>
      <c r="P4" s="45" t="n">
        <f aca="false">Inputs!$B$54*(1+Inputs!$B$55)^(2-1)</f>
        <v>6229.4523449656</v>
      </c>
      <c r="Q4" s="45" t="n">
        <f aca="false">Inputs!$B$54*(1+Inputs!$B$55)^(2-1)</f>
        <v>6229.4523449656</v>
      </c>
      <c r="R4" s="45" t="n">
        <f aca="false">Inputs!$B$54*(1+Inputs!$B$55)^(2-1)</f>
        <v>6229.4523449656</v>
      </c>
      <c r="S4" s="45" t="n">
        <f aca="false">Inputs!$B$54*(1+Inputs!$B$55)^(2-1)</f>
        <v>6229.4523449656</v>
      </c>
      <c r="T4" s="45" t="n">
        <f aca="false">Inputs!$B$54*(1+Inputs!$B$55)^(2-1)</f>
        <v>6229.4523449656</v>
      </c>
      <c r="U4" s="45" t="n">
        <f aca="false">Inputs!$B$54*(1+Inputs!$B$55)^(2-1)</f>
        <v>6229.4523449656</v>
      </c>
      <c r="V4" s="45" t="n">
        <f aca="false">Inputs!$B$54*(1+Inputs!$B$55)^(2-1)</f>
        <v>6229.4523449656</v>
      </c>
      <c r="W4" s="45" t="n">
        <f aca="false">Inputs!$B$54*(1+Inputs!$B$55)^(2-1)</f>
        <v>6229.4523449656</v>
      </c>
      <c r="X4" s="45" t="n">
        <f aca="false">Inputs!$B$54*(1+Inputs!$B$55)^(2-1)</f>
        <v>6229.4523449656</v>
      </c>
      <c r="Y4" s="45" t="n">
        <f aca="false">Inputs!$B$54*(1+Inputs!$B$55)^(2-1)</f>
        <v>6229.4523449656</v>
      </c>
      <c r="Z4" s="45" t="n">
        <f aca="false">Inputs!$B$54*(1+Inputs!$B$55)^(2-1)</f>
        <v>6229.4523449656</v>
      </c>
      <c r="AA4" s="51" t="n">
        <f aca="false">SUM(O4:Z4)</f>
        <v>74753.4281395872</v>
      </c>
      <c r="AB4" s="44" t="n">
        <f aca="false">Inputs!$B$54*(1+Inputs!$B$55)^(3-1)</f>
        <v>6416.33591531457</v>
      </c>
      <c r="AC4" s="45" t="n">
        <f aca="false">Inputs!$B$54*(1+Inputs!$B$55)^(3-1)</f>
        <v>6416.33591531457</v>
      </c>
      <c r="AD4" s="45" t="n">
        <f aca="false">Inputs!$B$54*(1+Inputs!$B$55)^(3-1)</f>
        <v>6416.33591531457</v>
      </c>
      <c r="AE4" s="45" t="n">
        <f aca="false">Inputs!$B$54*(1+Inputs!$B$55)^(3-1)</f>
        <v>6416.33591531457</v>
      </c>
      <c r="AF4" s="45" t="n">
        <f aca="false">Inputs!$B$54*(1+Inputs!$B$55)^(3-1)</f>
        <v>6416.33591531457</v>
      </c>
      <c r="AG4" s="45" t="n">
        <f aca="false">Inputs!$B$54*(1+Inputs!$B$55)^(3-1)</f>
        <v>6416.33591531457</v>
      </c>
      <c r="AH4" s="45" t="n">
        <f aca="false">Inputs!$B$54*(1+Inputs!$B$55)^(3-1)</f>
        <v>6416.33591531457</v>
      </c>
      <c r="AI4" s="45" t="n">
        <f aca="false">Inputs!$B$54*(1+Inputs!$B$55)^(3-1)</f>
        <v>6416.33591531457</v>
      </c>
      <c r="AJ4" s="45" t="n">
        <f aca="false">Inputs!$B$54*(1+Inputs!$B$55)^(3-1)</f>
        <v>6416.33591531457</v>
      </c>
      <c r="AK4" s="45" t="n">
        <f aca="false">Inputs!$B$54*(1+Inputs!$B$55)^(3-1)</f>
        <v>6416.33591531457</v>
      </c>
      <c r="AL4" s="45" t="n">
        <f aca="false">Inputs!$B$54*(1+Inputs!$B$55)^(3-1)</f>
        <v>6416.33591531457</v>
      </c>
      <c r="AM4" s="45" t="n">
        <f aca="false">Inputs!$B$54*(1+Inputs!$B$55)^(3-1)</f>
        <v>6416.33591531457</v>
      </c>
      <c r="AN4" s="51" t="n">
        <f aca="false">SUM(AB4:AM4)</f>
        <v>76996.0309837748</v>
      </c>
      <c r="AO4" s="50" t="n">
        <f aca="false">SUM(N4,AA4,AN4)</f>
        <v>224325.602948204</v>
      </c>
    </row>
    <row r="5" customFormat="false" ht="15" hidden="false" customHeight="true" outlineLevel="0" collapsed="false">
      <c r="A5" s="8" t="s">
        <v>163</v>
      </c>
      <c r="B5" s="44" t="n">
        <f aca="false">'Revenue Forecast'!B8*Inputs!$B$61</f>
        <v>2720</v>
      </c>
      <c r="C5" s="45" t="n">
        <f aca="false">'Revenue Forecast'!C8*Inputs!$B$61</f>
        <v>2720</v>
      </c>
      <c r="D5" s="45" t="n">
        <f aca="false">'Revenue Forecast'!D8*Inputs!$B$61</f>
        <v>3040</v>
      </c>
      <c r="E5" s="45" t="n">
        <f aca="false">'Revenue Forecast'!E8*Inputs!$B$61</f>
        <v>3200</v>
      </c>
      <c r="F5" s="45" t="n">
        <f aca="false">'Revenue Forecast'!F8*Inputs!$B$61</f>
        <v>3200</v>
      </c>
      <c r="G5" s="45" t="n">
        <f aca="false">'Revenue Forecast'!G8*Inputs!$B$61</f>
        <v>3360</v>
      </c>
      <c r="H5" s="45" t="n">
        <f aca="false">'Revenue Forecast'!H8*Inputs!$B$61</f>
        <v>3200</v>
      </c>
      <c r="I5" s="45" t="n">
        <f aca="false">'Revenue Forecast'!I8*Inputs!$B$61</f>
        <v>3040</v>
      </c>
      <c r="J5" s="45" t="n">
        <f aca="false">'Revenue Forecast'!J8*Inputs!$B$61</f>
        <v>3200</v>
      </c>
      <c r="K5" s="45" t="n">
        <f aca="false">'Revenue Forecast'!K8*Inputs!$B$61</f>
        <v>3360</v>
      </c>
      <c r="L5" s="45" t="n">
        <f aca="false">'Revenue Forecast'!L8*Inputs!$B$61</f>
        <v>3680</v>
      </c>
      <c r="M5" s="45" t="n">
        <f aca="false">'Revenue Forecast'!M8*Inputs!$B$61</f>
        <v>3840</v>
      </c>
      <c r="N5" s="51" t="n">
        <f aca="false">SUM(B5:M5)</f>
        <v>38560</v>
      </c>
      <c r="O5" s="44" t="n">
        <f aca="false">'Revenue Forecast'!O8*Inputs!$B$61</f>
        <v>3128</v>
      </c>
      <c r="P5" s="45" t="n">
        <f aca="false">'Revenue Forecast'!P8*Inputs!$B$61</f>
        <v>3128</v>
      </c>
      <c r="Q5" s="45" t="n">
        <f aca="false">'Revenue Forecast'!Q8*Inputs!$B$61</f>
        <v>3496</v>
      </c>
      <c r="R5" s="45" t="n">
        <f aca="false">'Revenue Forecast'!R8*Inputs!$B$61</f>
        <v>3680</v>
      </c>
      <c r="S5" s="45" t="n">
        <f aca="false">'Revenue Forecast'!S8*Inputs!$B$61</f>
        <v>3680</v>
      </c>
      <c r="T5" s="45" t="n">
        <f aca="false">'Revenue Forecast'!T8*Inputs!$B$61</f>
        <v>3864</v>
      </c>
      <c r="U5" s="45" t="n">
        <f aca="false">'Revenue Forecast'!U8*Inputs!$B$61</f>
        <v>3680</v>
      </c>
      <c r="V5" s="45" t="n">
        <f aca="false">'Revenue Forecast'!V8*Inputs!$B$61</f>
        <v>3496</v>
      </c>
      <c r="W5" s="45" t="n">
        <f aca="false">'Revenue Forecast'!W8*Inputs!$B$61</f>
        <v>3680</v>
      </c>
      <c r="X5" s="45" t="n">
        <f aca="false">'Revenue Forecast'!X8*Inputs!$B$61</f>
        <v>3864</v>
      </c>
      <c r="Y5" s="45" t="n">
        <f aca="false">'Revenue Forecast'!Y8*Inputs!$B$61</f>
        <v>4232</v>
      </c>
      <c r="Z5" s="45" t="n">
        <f aca="false">'Revenue Forecast'!Z8*Inputs!$B$61</f>
        <v>4416</v>
      </c>
      <c r="AA5" s="51" t="n">
        <f aca="false">SUM(O5:Z5)</f>
        <v>44344</v>
      </c>
      <c r="AB5" s="44" t="n">
        <f aca="false">'Revenue Forecast'!AB8*Inputs!$B$61</f>
        <v>3597.2</v>
      </c>
      <c r="AC5" s="45" t="n">
        <f aca="false">'Revenue Forecast'!AC8*Inputs!$B$61</f>
        <v>3597.2</v>
      </c>
      <c r="AD5" s="45" t="n">
        <f aca="false">'Revenue Forecast'!AD8*Inputs!$B$61</f>
        <v>4020.4</v>
      </c>
      <c r="AE5" s="45" t="n">
        <f aca="false">'Revenue Forecast'!AE8*Inputs!$B$61</f>
        <v>4232</v>
      </c>
      <c r="AF5" s="45" t="n">
        <f aca="false">'Revenue Forecast'!AF8*Inputs!$B$61</f>
        <v>4232</v>
      </c>
      <c r="AG5" s="45" t="n">
        <f aca="false">'Revenue Forecast'!AG8*Inputs!$B$61</f>
        <v>4443.6</v>
      </c>
      <c r="AH5" s="45" t="n">
        <f aca="false">'Revenue Forecast'!AH8*Inputs!$B$61</f>
        <v>4232</v>
      </c>
      <c r="AI5" s="45" t="n">
        <f aca="false">'Revenue Forecast'!AI8*Inputs!$B$61</f>
        <v>4020.4</v>
      </c>
      <c r="AJ5" s="45" t="n">
        <f aca="false">'Revenue Forecast'!AJ8*Inputs!$B$61</f>
        <v>4232</v>
      </c>
      <c r="AK5" s="45" t="n">
        <f aca="false">'Revenue Forecast'!AK8*Inputs!$B$61</f>
        <v>4443.6</v>
      </c>
      <c r="AL5" s="45" t="n">
        <f aca="false">'Revenue Forecast'!AL8*Inputs!$B$61</f>
        <v>4866.8</v>
      </c>
      <c r="AM5" s="45" t="n">
        <f aca="false">'Revenue Forecast'!AM8*Inputs!$B$61</f>
        <v>5078.4</v>
      </c>
      <c r="AN5" s="51" t="n">
        <f aca="false">SUM(AB5:AM5)</f>
        <v>50995.6</v>
      </c>
      <c r="AO5" s="50" t="n">
        <f aca="false">SUM(N5,AA5,AN5)</f>
        <v>133899.6</v>
      </c>
    </row>
    <row r="6" customFormat="false" ht="15" hidden="false" customHeight="true" outlineLevel="0" collapsed="false">
      <c r="A6" s="46" t="s">
        <v>164</v>
      </c>
      <c r="B6" s="47" t="n">
        <f aca="false">B4+B5</f>
        <v>8768.0119854035</v>
      </c>
      <c r="C6" s="48" t="n">
        <f aca="false">C4+C5</f>
        <v>8768.0119854035</v>
      </c>
      <c r="D6" s="48" t="n">
        <f aca="false">D4+D5</f>
        <v>9088.0119854035</v>
      </c>
      <c r="E6" s="48" t="n">
        <f aca="false">E4+E5</f>
        <v>9248.0119854035</v>
      </c>
      <c r="F6" s="48" t="n">
        <f aca="false">F4+F5</f>
        <v>9248.0119854035</v>
      </c>
      <c r="G6" s="48" t="n">
        <f aca="false">G4+G5</f>
        <v>9408.0119854035</v>
      </c>
      <c r="H6" s="48" t="n">
        <f aca="false">H4+H5</f>
        <v>9248.0119854035</v>
      </c>
      <c r="I6" s="48" t="n">
        <f aca="false">I4+I5</f>
        <v>9088.0119854035</v>
      </c>
      <c r="J6" s="48" t="n">
        <f aca="false">J4+J5</f>
        <v>9248.0119854035</v>
      </c>
      <c r="K6" s="48" t="n">
        <f aca="false">K4+K5</f>
        <v>9408.0119854035</v>
      </c>
      <c r="L6" s="48" t="n">
        <f aca="false">L4+L5</f>
        <v>9728.0119854035</v>
      </c>
      <c r="M6" s="48" t="n">
        <f aca="false">M4+M5</f>
        <v>9888.0119854035</v>
      </c>
      <c r="N6" s="49" t="n">
        <f aca="false">SUM(B6:M6)</f>
        <v>111136.143824842</v>
      </c>
      <c r="O6" s="47" t="n">
        <f aca="false">O4+O5</f>
        <v>9357.4523449656</v>
      </c>
      <c r="P6" s="48" t="n">
        <f aca="false">P4+P5</f>
        <v>9357.4523449656</v>
      </c>
      <c r="Q6" s="48" t="n">
        <f aca="false">Q4+Q5</f>
        <v>9725.4523449656</v>
      </c>
      <c r="R6" s="48" t="n">
        <f aca="false">R4+R5</f>
        <v>9909.4523449656</v>
      </c>
      <c r="S6" s="48" t="n">
        <f aca="false">S4+S5</f>
        <v>9909.4523449656</v>
      </c>
      <c r="T6" s="48" t="n">
        <f aca="false">T4+T5</f>
        <v>10093.4523449656</v>
      </c>
      <c r="U6" s="48" t="n">
        <f aca="false">U4+U5</f>
        <v>9909.4523449656</v>
      </c>
      <c r="V6" s="48" t="n">
        <f aca="false">V4+V5</f>
        <v>9725.4523449656</v>
      </c>
      <c r="W6" s="48" t="n">
        <f aca="false">W4+W5</f>
        <v>9909.4523449656</v>
      </c>
      <c r="X6" s="48" t="n">
        <f aca="false">X4+X5</f>
        <v>10093.4523449656</v>
      </c>
      <c r="Y6" s="48" t="n">
        <f aca="false">Y4+Y5</f>
        <v>10461.4523449656</v>
      </c>
      <c r="Z6" s="48" t="n">
        <f aca="false">Z4+Z5</f>
        <v>10645.4523449656</v>
      </c>
      <c r="AA6" s="49" t="n">
        <f aca="false">SUM(O6:Z6)</f>
        <v>119097.428139587</v>
      </c>
      <c r="AB6" s="47" t="n">
        <f aca="false">AB4+AB5</f>
        <v>10013.5359153146</v>
      </c>
      <c r="AC6" s="48" t="n">
        <f aca="false">AC4+AC5</f>
        <v>10013.5359153146</v>
      </c>
      <c r="AD6" s="48" t="n">
        <f aca="false">AD4+AD5</f>
        <v>10436.7359153146</v>
      </c>
      <c r="AE6" s="48" t="n">
        <f aca="false">AE4+AE5</f>
        <v>10648.3359153146</v>
      </c>
      <c r="AF6" s="48" t="n">
        <f aca="false">AF4+AF5</f>
        <v>10648.3359153146</v>
      </c>
      <c r="AG6" s="48" t="n">
        <f aca="false">AG4+AG5</f>
        <v>10859.9359153146</v>
      </c>
      <c r="AH6" s="48" t="n">
        <f aca="false">AH4+AH5</f>
        <v>10648.3359153146</v>
      </c>
      <c r="AI6" s="48" t="n">
        <f aca="false">AI4+AI5</f>
        <v>10436.7359153146</v>
      </c>
      <c r="AJ6" s="48" t="n">
        <f aca="false">AJ4+AJ5</f>
        <v>10648.3359153146</v>
      </c>
      <c r="AK6" s="48" t="n">
        <f aca="false">AK4+AK5</f>
        <v>10859.9359153146</v>
      </c>
      <c r="AL6" s="48" t="n">
        <f aca="false">AL4+AL5</f>
        <v>11283.1359153146</v>
      </c>
      <c r="AM6" s="48" t="n">
        <f aca="false">AM4+AM5</f>
        <v>11494.7359153146</v>
      </c>
      <c r="AN6" s="49" t="n">
        <f aca="false">SUM(AB6:AM6)</f>
        <v>127991.630983775</v>
      </c>
      <c r="AO6" s="50" t="n">
        <f aca="false">SUM(N6,AA6,AN6)</f>
        <v>358225.202948204</v>
      </c>
    </row>
  </sheetData>
  <mergeCells count="2">
    <mergeCell ref="A1:O1"/>
    <mergeCell ref="A2:O2"/>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13" min="2" style="1" width="10"/>
    <col collapsed="false" customWidth="true" hidden="false" outlineLevel="0" max="16" min="14" style="1" width="12"/>
    <col collapsed="false" customWidth="true" hidden="false" outlineLevel="0" max="17" min="17" style="1" width="13"/>
  </cols>
  <sheetData>
    <row r="1" customFormat="false" ht="27.75" hidden="false" customHeight="true" outlineLevel="0" collapsed="false">
      <c r="A1" s="2" t="s">
        <v>165</v>
      </c>
      <c r="B1" s="2"/>
      <c r="C1" s="2"/>
      <c r="D1" s="2"/>
      <c r="E1" s="2"/>
      <c r="F1" s="2"/>
      <c r="G1" s="2"/>
      <c r="H1" s="2"/>
      <c r="I1" s="2"/>
      <c r="J1" s="2"/>
      <c r="K1" s="2"/>
      <c r="L1" s="2"/>
      <c r="M1" s="2"/>
      <c r="N1" s="2"/>
      <c r="O1" s="2"/>
      <c r="P1" s="2"/>
      <c r="Q1" s="2"/>
    </row>
    <row r="2" customFormat="false" ht="25.5" hidden="false" customHeight="true" outlineLevel="0" collapsed="false">
      <c r="A2" s="11" t="s">
        <v>166</v>
      </c>
      <c r="B2" s="11"/>
      <c r="C2" s="11"/>
      <c r="D2" s="11"/>
      <c r="E2" s="11"/>
      <c r="F2" s="11"/>
      <c r="G2" s="11"/>
      <c r="H2" s="11"/>
      <c r="I2" s="11"/>
      <c r="J2" s="11"/>
      <c r="K2" s="11"/>
      <c r="L2" s="11"/>
      <c r="M2" s="11"/>
      <c r="N2" s="11"/>
      <c r="O2" s="11"/>
      <c r="P2" s="11"/>
      <c r="Q2" s="11"/>
    </row>
    <row r="3" customFormat="false" ht="15.75" hidden="false" customHeight="true" outlineLevel="0" collapsed="false">
      <c r="B3" s="33" t="s">
        <v>114</v>
      </c>
      <c r="C3" s="33" t="s">
        <v>115</v>
      </c>
      <c r="D3" s="33" t="s">
        <v>116</v>
      </c>
      <c r="E3" s="33" t="s">
        <v>117</v>
      </c>
      <c r="F3" s="33" t="s">
        <v>118</v>
      </c>
      <c r="G3" s="33" t="s">
        <v>119</v>
      </c>
      <c r="H3" s="33" t="s">
        <v>120</v>
      </c>
      <c r="I3" s="33" t="s">
        <v>121</v>
      </c>
      <c r="J3" s="33" t="s">
        <v>122</v>
      </c>
      <c r="K3" s="33" t="s">
        <v>123</v>
      </c>
      <c r="L3" s="33" t="s">
        <v>124</v>
      </c>
      <c r="M3" s="33" t="s">
        <v>125</v>
      </c>
      <c r="N3" s="34" t="s">
        <v>126</v>
      </c>
      <c r="O3" s="34" t="s">
        <v>139</v>
      </c>
      <c r="P3" s="34" t="s">
        <v>152</v>
      </c>
      <c r="Q3" s="33" t="s">
        <v>153</v>
      </c>
    </row>
    <row r="4" customFormat="false" ht="15" hidden="false" customHeight="true" outlineLevel="0" collapsed="false">
      <c r="A4" s="8" t="s">
        <v>167</v>
      </c>
      <c r="B4" s="45" t="n">
        <f aca="false">'Revenue Forecast'!B8</f>
        <v>8500</v>
      </c>
      <c r="C4" s="45" t="n">
        <f aca="false">'Revenue Forecast'!C8</f>
        <v>8500</v>
      </c>
      <c r="D4" s="45" t="n">
        <f aca="false">'Revenue Forecast'!D8</f>
        <v>9500</v>
      </c>
      <c r="E4" s="45" t="n">
        <f aca="false">'Revenue Forecast'!E8</f>
        <v>10000</v>
      </c>
      <c r="F4" s="45" t="n">
        <f aca="false">'Revenue Forecast'!F8</f>
        <v>10000</v>
      </c>
      <c r="G4" s="45" t="n">
        <f aca="false">'Revenue Forecast'!G8</f>
        <v>10500</v>
      </c>
      <c r="H4" s="45" t="n">
        <f aca="false">'Revenue Forecast'!H8</f>
        <v>10000</v>
      </c>
      <c r="I4" s="45" t="n">
        <f aca="false">'Revenue Forecast'!I8</f>
        <v>9500</v>
      </c>
      <c r="J4" s="45" t="n">
        <f aca="false">'Revenue Forecast'!J8</f>
        <v>10000</v>
      </c>
      <c r="K4" s="45" t="n">
        <f aca="false">'Revenue Forecast'!K8</f>
        <v>10500</v>
      </c>
      <c r="L4" s="45" t="n">
        <f aca="false">'Revenue Forecast'!L8</f>
        <v>11500</v>
      </c>
      <c r="M4" s="45" t="n">
        <f aca="false">'Revenue Forecast'!M8</f>
        <v>12000</v>
      </c>
      <c r="N4" s="51" t="n">
        <f aca="false">SUM(B4:M4)</f>
        <v>120500</v>
      </c>
      <c r="O4" s="51" t="n">
        <f aca="false">'Revenue Forecast'!AA8</f>
        <v>138575</v>
      </c>
      <c r="P4" s="51" t="n">
        <f aca="false">'Revenue Forecast'!AN8</f>
        <v>159361.25</v>
      </c>
      <c r="Q4" s="50" t="n">
        <f aca="false">SUM(N4,O4,P4)</f>
        <v>418436.25</v>
      </c>
    </row>
    <row r="5" customFormat="false" ht="15" hidden="false" customHeight="true" outlineLevel="0" collapsed="false">
      <c r="A5" s="8" t="s">
        <v>168</v>
      </c>
      <c r="B5" s="45" t="n">
        <f aca="false">'Expense Forecast'!B5</f>
        <v>2720</v>
      </c>
      <c r="C5" s="45" t="n">
        <f aca="false">'Expense Forecast'!C5</f>
        <v>2720</v>
      </c>
      <c r="D5" s="45" t="n">
        <f aca="false">'Expense Forecast'!D5</f>
        <v>3040</v>
      </c>
      <c r="E5" s="45" t="n">
        <f aca="false">'Expense Forecast'!E5</f>
        <v>3200</v>
      </c>
      <c r="F5" s="45" t="n">
        <f aca="false">'Expense Forecast'!F5</f>
        <v>3200</v>
      </c>
      <c r="G5" s="45" t="n">
        <f aca="false">'Expense Forecast'!G5</f>
        <v>3360</v>
      </c>
      <c r="H5" s="45" t="n">
        <f aca="false">'Expense Forecast'!H5</f>
        <v>3200</v>
      </c>
      <c r="I5" s="45" t="n">
        <f aca="false">'Expense Forecast'!I5</f>
        <v>3040</v>
      </c>
      <c r="J5" s="45" t="n">
        <f aca="false">'Expense Forecast'!J5</f>
        <v>3200</v>
      </c>
      <c r="K5" s="45" t="n">
        <f aca="false">'Expense Forecast'!K5</f>
        <v>3360</v>
      </c>
      <c r="L5" s="45" t="n">
        <f aca="false">'Expense Forecast'!L5</f>
        <v>3680</v>
      </c>
      <c r="M5" s="45" t="n">
        <f aca="false">'Expense Forecast'!M5</f>
        <v>3840</v>
      </c>
      <c r="N5" s="51" t="n">
        <f aca="false">SUM(B5:M5)</f>
        <v>38560</v>
      </c>
      <c r="O5" s="51" t="n">
        <f aca="false">'Expense Forecast'!AA5</f>
        <v>44344</v>
      </c>
      <c r="P5" s="51" t="n">
        <f aca="false">'Expense Forecast'!AN5</f>
        <v>50995.6</v>
      </c>
      <c r="Q5" s="50" t="n">
        <f aca="false">SUM(N5,O5,P5)</f>
        <v>133899.6</v>
      </c>
    </row>
    <row r="6" customFormat="false" ht="15" hidden="false" customHeight="true" outlineLevel="0" collapsed="false">
      <c r="A6" s="46" t="s">
        <v>169</v>
      </c>
      <c r="B6" s="48" t="n">
        <f aca="false">B4-B5</f>
        <v>5780</v>
      </c>
      <c r="C6" s="48" t="n">
        <f aca="false">C4-C5</f>
        <v>5780</v>
      </c>
      <c r="D6" s="48" t="n">
        <f aca="false">D4-D5</f>
        <v>6460</v>
      </c>
      <c r="E6" s="48" t="n">
        <f aca="false">E4-E5</f>
        <v>6800</v>
      </c>
      <c r="F6" s="48" t="n">
        <f aca="false">F4-F5</f>
        <v>6800</v>
      </c>
      <c r="G6" s="48" t="n">
        <f aca="false">G4-G5</f>
        <v>7140</v>
      </c>
      <c r="H6" s="48" t="n">
        <f aca="false">H4-H5</f>
        <v>6800</v>
      </c>
      <c r="I6" s="48" t="n">
        <f aca="false">I4-I5</f>
        <v>6460</v>
      </c>
      <c r="J6" s="48" t="n">
        <f aca="false">J4-J5</f>
        <v>6800</v>
      </c>
      <c r="K6" s="48" t="n">
        <f aca="false">K4-K5</f>
        <v>7140</v>
      </c>
      <c r="L6" s="48" t="n">
        <f aca="false">L4-L5</f>
        <v>7820</v>
      </c>
      <c r="M6" s="48" t="n">
        <f aca="false">M4-M5</f>
        <v>8160</v>
      </c>
      <c r="N6" s="48" t="n">
        <f aca="false">N4-N5</f>
        <v>81940</v>
      </c>
      <c r="O6" s="48" t="n">
        <f aca="false">O4-O5</f>
        <v>94231</v>
      </c>
      <c r="P6" s="48" t="n">
        <f aca="false">P4-P5</f>
        <v>108365.65</v>
      </c>
      <c r="Q6" s="50" t="n">
        <f aca="false">SUM(N6,O6,P6)</f>
        <v>284536.65</v>
      </c>
    </row>
    <row r="7" customFormat="false" ht="15" hidden="false" customHeight="true" outlineLevel="0" collapsed="false">
      <c r="A7" s="8" t="s">
        <v>170</v>
      </c>
      <c r="B7" s="45" t="n">
        <f aca="false">'Expense Forecast'!B4</f>
        <v>6048.0119854035</v>
      </c>
      <c r="C7" s="45" t="n">
        <f aca="false">'Expense Forecast'!C4</f>
        <v>6048.0119854035</v>
      </c>
      <c r="D7" s="45" t="n">
        <f aca="false">'Expense Forecast'!D4</f>
        <v>6048.0119854035</v>
      </c>
      <c r="E7" s="45" t="n">
        <f aca="false">'Expense Forecast'!E4</f>
        <v>6048.0119854035</v>
      </c>
      <c r="F7" s="45" t="n">
        <f aca="false">'Expense Forecast'!F4</f>
        <v>6048.0119854035</v>
      </c>
      <c r="G7" s="45" t="n">
        <f aca="false">'Expense Forecast'!G4</f>
        <v>6048.0119854035</v>
      </c>
      <c r="H7" s="45" t="n">
        <f aca="false">'Expense Forecast'!H4</f>
        <v>6048.0119854035</v>
      </c>
      <c r="I7" s="45" t="n">
        <f aca="false">'Expense Forecast'!I4</f>
        <v>6048.0119854035</v>
      </c>
      <c r="J7" s="45" t="n">
        <f aca="false">'Expense Forecast'!J4</f>
        <v>6048.0119854035</v>
      </c>
      <c r="K7" s="45" t="n">
        <f aca="false">'Expense Forecast'!K4</f>
        <v>6048.0119854035</v>
      </c>
      <c r="L7" s="45" t="n">
        <f aca="false">'Expense Forecast'!L4</f>
        <v>6048.0119854035</v>
      </c>
      <c r="M7" s="45" t="n">
        <f aca="false">'Expense Forecast'!M4</f>
        <v>6048.0119854035</v>
      </c>
      <c r="N7" s="51" t="n">
        <f aca="false">SUM(B7:M7)</f>
        <v>72576.143824842</v>
      </c>
      <c r="O7" s="51" t="n">
        <f aca="false">'Expense Forecast'!AA4</f>
        <v>74753.4281395872</v>
      </c>
      <c r="P7" s="51" t="n">
        <f aca="false">'Expense Forecast'!AN4</f>
        <v>76996.0309837748</v>
      </c>
      <c r="Q7" s="50" t="n">
        <f aca="false">SUM(N7,O7,P7)</f>
        <v>224325.602948204</v>
      </c>
    </row>
    <row r="8" customFormat="false" ht="15" hidden="false" customHeight="true" outlineLevel="0" collapsed="false">
      <c r="A8" s="46" t="s">
        <v>171</v>
      </c>
      <c r="B8" s="52" t="n">
        <f aca="false">B6-B7</f>
        <v>-268.011985403496</v>
      </c>
      <c r="C8" s="52" t="n">
        <f aca="false">C6-C7</f>
        <v>-268.011985403496</v>
      </c>
      <c r="D8" s="52" t="n">
        <f aca="false">D6-D7</f>
        <v>411.988014596504</v>
      </c>
      <c r="E8" s="52" t="n">
        <f aca="false">E6-E7</f>
        <v>751.988014596504</v>
      </c>
      <c r="F8" s="52" t="n">
        <f aca="false">F6-F7</f>
        <v>751.988014596504</v>
      </c>
      <c r="G8" s="52" t="n">
        <f aca="false">G6-G7</f>
        <v>1091.9880145965</v>
      </c>
      <c r="H8" s="52" t="n">
        <f aca="false">H6-H7</f>
        <v>751.988014596504</v>
      </c>
      <c r="I8" s="52" t="n">
        <f aca="false">I6-I7</f>
        <v>411.988014596504</v>
      </c>
      <c r="J8" s="52" t="n">
        <f aca="false">J6-J7</f>
        <v>751.988014596504</v>
      </c>
      <c r="K8" s="52" t="n">
        <f aca="false">K6-K7</f>
        <v>1091.9880145965</v>
      </c>
      <c r="L8" s="52" t="n">
        <f aca="false">L6-L7</f>
        <v>1771.9880145965</v>
      </c>
      <c r="M8" s="52" t="n">
        <f aca="false">M6-M7</f>
        <v>2111.9880145965</v>
      </c>
      <c r="N8" s="52" t="n">
        <f aca="false">N6-N7</f>
        <v>9363.85617515804</v>
      </c>
      <c r="O8" s="52" t="n">
        <f aca="false">O6-O7</f>
        <v>19477.5718604128</v>
      </c>
      <c r="P8" s="52" t="n">
        <f aca="false">P6-P7</f>
        <v>31369.6190162252</v>
      </c>
      <c r="Q8" s="50" t="n">
        <f aca="false">SUM(N8,O8,P8)</f>
        <v>60211.047051796</v>
      </c>
    </row>
    <row r="10" customFormat="false" ht="19.5" hidden="false" customHeight="true" outlineLevel="0" collapsed="false">
      <c r="A10" s="12" t="s">
        <v>172</v>
      </c>
      <c r="B10" s="12"/>
      <c r="C10" s="12"/>
      <c r="D10" s="12"/>
      <c r="E10" s="12"/>
      <c r="F10" s="12"/>
      <c r="G10" s="12"/>
      <c r="H10" s="12"/>
      <c r="I10" s="12"/>
      <c r="J10" s="12"/>
      <c r="K10" s="12"/>
      <c r="L10" s="12"/>
      <c r="M10" s="12"/>
      <c r="N10" s="12"/>
      <c r="O10" s="12"/>
      <c r="P10" s="12"/>
      <c r="Q10" s="12"/>
    </row>
    <row r="11" customFormat="false" ht="15" hidden="false" customHeight="true" outlineLevel="0" collapsed="false">
      <c r="A11" s="8" t="s">
        <v>173</v>
      </c>
      <c r="B11" s="53" t="n">
        <f aca="false">IFERROR(B4/B4,0)</f>
        <v>1</v>
      </c>
      <c r="C11" s="53" t="n">
        <f aca="false">IFERROR(C4/C4,0)</f>
        <v>1</v>
      </c>
      <c r="D11" s="53" t="n">
        <f aca="false">IFERROR(D4/D4,0)</f>
        <v>1</v>
      </c>
      <c r="E11" s="53" t="n">
        <f aca="false">IFERROR(E4/E4,0)</f>
        <v>1</v>
      </c>
      <c r="F11" s="53" t="n">
        <f aca="false">IFERROR(F4/F4,0)</f>
        <v>1</v>
      </c>
      <c r="G11" s="53" t="n">
        <f aca="false">IFERROR(G4/G4,0)</f>
        <v>1</v>
      </c>
      <c r="H11" s="53" t="n">
        <f aca="false">IFERROR(H4/H4,0)</f>
        <v>1</v>
      </c>
      <c r="I11" s="53" t="n">
        <f aca="false">IFERROR(I4/I4,0)</f>
        <v>1</v>
      </c>
      <c r="J11" s="53" t="n">
        <f aca="false">IFERROR(J4/J4,0)</f>
        <v>1</v>
      </c>
      <c r="K11" s="53" t="n">
        <f aca="false">IFERROR(K4/K4,0)</f>
        <v>1</v>
      </c>
      <c r="L11" s="53" t="n">
        <f aca="false">IFERROR(L4/L4,0)</f>
        <v>1</v>
      </c>
      <c r="M11" s="53" t="n">
        <f aca="false">IFERROR(M4/M4,0)</f>
        <v>1</v>
      </c>
      <c r="N11" s="53" t="n">
        <f aca="false">IFERROR(N4/N4,0)</f>
        <v>1</v>
      </c>
      <c r="O11" s="53" t="n">
        <f aca="false">IFERROR(O4/O4,0)</f>
        <v>1</v>
      </c>
      <c r="P11" s="53" t="n">
        <f aca="false">IFERROR(P4/P4,0)</f>
        <v>1</v>
      </c>
      <c r="Q11" s="53" t="n">
        <f aca="false">IFERROR(Q4/Q4,0)</f>
        <v>1</v>
      </c>
    </row>
    <row r="12" customFormat="false" ht="15" hidden="false" customHeight="true" outlineLevel="0" collapsed="false">
      <c r="A12" s="8" t="s">
        <v>174</v>
      </c>
      <c r="B12" s="53" t="n">
        <f aca="false">IFERROR(B5/B4,0)</f>
        <v>0.32</v>
      </c>
      <c r="C12" s="53" t="n">
        <f aca="false">IFERROR(C5/C4,0)</f>
        <v>0.32</v>
      </c>
      <c r="D12" s="53" t="n">
        <f aca="false">IFERROR(D5/D4,0)</f>
        <v>0.32</v>
      </c>
      <c r="E12" s="53" t="n">
        <f aca="false">IFERROR(E5/E4,0)</f>
        <v>0.32</v>
      </c>
      <c r="F12" s="53" t="n">
        <f aca="false">IFERROR(F5/F4,0)</f>
        <v>0.32</v>
      </c>
      <c r="G12" s="53" t="n">
        <f aca="false">IFERROR(G5/G4,0)</f>
        <v>0.32</v>
      </c>
      <c r="H12" s="53" t="n">
        <f aca="false">IFERROR(H5/H4,0)</f>
        <v>0.32</v>
      </c>
      <c r="I12" s="53" t="n">
        <f aca="false">IFERROR(I5/I4,0)</f>
        <v>0.32</v>
      </c>
      <c r="J12" s="53" t="n">
        <f aca="false">IFERROR(J5/J4,0)</f>
        <v>0.32</v>
      </c>
      <c r="K12" s="53" t="n">
        <f aca="false">IFERROR(K5/K4,0)</f>
        <v>0.32</v>
      </c>
      <c r="L12" s="53" t="n">
        <f aca="false">IFERROR(L5/L4,0)</f>
        <v>0.32</v>
      </c>
      <c r="M12" s="53" t="n">
        <f aca="false">IFERROR(M5/M4,0)</f>
        <v>0.32</v>
      </c>
      <c r="N12" s="53" t="n">
        <f aca="false">IFERROR(N5/N4,0)</f>
        <v>0.32</v>
      </c>
      <c r="O12" s="53" t="n">
        <f aca="false">IFERROR(O5/O4,0)</f>
        <v>0.32</v>
      </c>
      <c r="P12" s="53" t="n">
        <f aca="false">IFERROR(P5/P4,0)</f>
        <v>0.32</v>
      </c>
      <c r="Q12" s="53" t="n">
        <f aca="false">IFERROR(Q5/Q4,0)</f>
        <v>0.32</v>
      </c>
    </row>
    <row r="13" customFormat="false" ht="15" hidden="false" customHeight="true" outlineLevel="0" collapsed="false">
      <c r="A13" s="46" t="s">
        <v>175</v>
      </c>
      <c r="B13" s="54" t="n">
        <f aca="false">IFERROR(B6/B4,0)</f>
        <v>0.68</v>
      </c>
      <c r="C13" s="54" t="n">
        <f aca="false">IFERROR(C6/C4,0)</f>
        <v>0.68</v>
      </c>
      <c r="D13" s="54" t="n">
        <f aca="false">IFERROR(D6/D4,0)</f>
        <v>0.68</v>
      </c>
      <c r="E13" s="54" t="n">
        <f aca="false">IFERROR(E6/E4,0)</f>
        <v>0.68</v>
      </c>
      <c r="F13" s="54" t="n">
        <f aca="false">IFERROR(F6/F4,0)</f>
        <v>0.68</v>
      </c>
      <c r="G13" s="54" t="n">
        <f aca="false">IFERROR(G6/G4,0)</f>
        <v>0.68</v>
      </c>
      <c r="H13" s="54" t="n">
        <f aca="false">IFERROR(H6/H4,0)</f>
        <v>0.68</v>
      </c>
      <c r="I13" s="54" t="n">
        <f aca="false">IFERROR(I6/I4,0)</f>
        <v>0.68</v>
      </c>
      <c r="J13" s="54" t="n">
        <f aca="false">IFERROR(J6/J4,0)</f>
        <v>0.68</v>
      </c>
      <c r="K13" s="54" t="n">
        <f aca="false">IFERROR(K6/K4,0)</f>
        <v>0.68</v>
      </c>
      <c r="L13" s="54" t="n">
        <f aca="false">IFERROR(L6/L4,0)</f>
        <v>0.68</v>
      </c>
      <c r="M13" s="54" t="n">
        <f aca="false">IFERROR(M6/M4,0)</f>
        <v>0.68</v>
      </c>
      <c r="N13" s="54" t="n">
        <f aca="false">IFERROR(N6/N4,0)</f>
        <v>0.68</v>
      </c>
      <c r="O13" s="54" t="n">
        <f aca="false">IFERROR(O6/O4,0)</f>
        <v>0.68</v>
      </c>
      <c r="P13" s="54" t="n">
        <f aca="false">IFERROR(P6/P4,0)</f>
        <v>0.68</v>
      </c>
      <c r="Q13" s="54" t="n">
        <f aca="false">IFERROR(Q6/Q4,0)</f>
        <v>0.68</v>
      </c>
    </row>
    <row r="14" customFormat="false" ht="15" hidden="false" customHeight="true" outlineLevel="0" collapsed="false">
      <c r="A14" s="8" t="s">
        <v>176</v>
      </c>
      <c r="B14" s="53" t="n">
        <f aca="false">IFERROR(B7/B4,0)</f>
        <v>0.711530821812176</v>
      </c>
      <c r="C14" s="53" t="n">
        <f aca="false">IFERROR(C7/C4,0)</f>
        <v>0.711530821812176</v>
      </c>
      <c r="D14" s="53" t="n">
        <f aca="false">IFERROR(D7/D4,0)</f>
        <v>0.636632840568789</v>
      </c>
      <c r="E14" s="53" t="n">
        <f aca="false">IFERROR(E7/E4,0)</f>
        <v>0.60480119854035</v>
      </c>
      <c r="F14" s="53" t="n">
        <f aca="false">IFERROR(F7/F4,0)</f>
        <v>0.60480119854035</v>
      </c>
      <c r="G14" s="53" t="n">
        <f aca="false">IFERROR(G7/G4,0)</f>
        <v>0.576001141467</v>
      </c>
      <c r="H14" s="53" t="n">
        <f aca="false">IFERROR(H7/H4,0)</f>
        <v>0.60480119854035</v>
      </c>
      <c r="I14" s="53" t="n">
        <f aca="false">IFERROR(I7/I4,0)</f>
        <v>0.636632840568789</v>
      </c>
      <c r="J14" s="53" t="n">
        <f aca="false">IFERROR(J7/J4,0)</f>
        <v>0.60480119854035</v>
      </c>
      <c r="K14" s="53" t="n">
        <f aca="false">IFERROR(K7/K4,0)</f>
        <v>0.576001141467</v>
      </c>
      <c r="L14" s="53" t="n">
        <f aca="false">IFERROR(L7/L4,0)</f>
        <v>0.525914085687261</v>
      </c>
      <c r="M14" s="53" t="n">
        <f aca="false">IFERROR(M7/M4,0)</f>
        <v>0.504000998783625</v>
      </c>
      <c r="N14" s="53" t="n">
        <f aca="false">IFERROR(N7/N4,0)</f>
        <v>0.602291649998688</v>
      </c>
      <c r="O14" s="53" t="n">
        <f aca="false">IFERROR(O7/O4,0)</f>
        <v>0.539443825650999</v>
      </c>
      <c r="P14" s="53" t="n">
        <f aca="false">IFERROR(P7/P4,0)</f>
        <v>0.483154035148286</v>
      </c>
      <c r="Q14" s="53" t="n">
        <f aca="false">IFERROR(Q7/Q4,0)</f>
        <v>0.536104610793649</v>
      </c>
    </row>
    <row r="15" customFormat="false" ht="15" hidden="false" customHeight="true" outlineLevel="0" collapsed="false">
      <c r="A15" s="46" t="s">
        <v>177</v>
      </c>
      <c r="B15" s="54" t="n">
        <f aca="false">IFERROR(B8/B4,0)</f>
        <v>-0.031530821812176</v>
      </c>
      <c r="C15" s="54" t="n">
        <f aca="false">IFERROR(C8/C4,0)</f>
        <v>-0.031530821812176</v>
      </c>
      <c r="D15" s="54" t="n">
        <f aca="false">IFERROR(D8/D4,0)</f>
        <v>0.043367159431211</v>
      </c>
      <c r="E15" s="54" t="n">
        <f aca="false">IFERROR(E8/E4,0)</f>
        <v>0.0751988014596504</v>
      </c>
      <c r="F15" s="54" t="n">
        <f aca="false">IFERROR(F8/F4,0)</f>
        <v>0.0751988014596504</v>
      </c>
      <c r="G15" s="54" t="n">
        <f aca="false">IFERROR(G8/G4,0)</f>
        <v>0.103998858533</v>
      </c>
      <c r="H15" s="54" t="n">
        <f aca="false">IFERROR(H8/H4,0)</f>
        <v>0.0751988014596504</v>
      </c>
      <c r="I15" s="54" t="n">
        <f aca="false">IFERROR(I8/I4,0)</f>
        <v>0.043367159431211</v>
      </c>
      <c r="J15" s="54" t="n">
        <f aca="false">IFERROR(J8/J4,0)</f>
        <v>0.0751988014596504</v>
      </c>
      <c r="K15" s="54" t="n">
        <f aca="false">IFERROR(K8/K4,0)</f>
        <v>0.103998858533</v>
      </c>
      <c r="L15" s="54" t="n">
        <f aca="false">IFERROR(L8/L4,0)</f>
        <v>0.154085914312739</v>
      </c>
      <c r="M15" s="54" t="n">
        <f aca="false">IFERROR(M8/M4,0)</f>
        <v>0.175999001216375</v>
      </c>
      <c r="N15" s="54" t="n">
        <f aca="false">IFERROR(N8/N4,0)</f>
        <v>0.0777083500013116</v>
      </c>
      <c r="O15" s="54" t="n">
        <f aca="false">IFERROR(O8/O4,0)</f>
        <v>0.140556174349001</v>
      </c>
      <c r="P15" s="54" t="n">
        <f aca="false">IFERROR(P8/P4,0)</f>
        <v>0.196845964851714</v>
      </c>
      <c r="Q15" s="54" t="n">
        <f aca="false">IFERROR(Q8/Q4,0)</f>
        <v>0.143895389206351</v>
      </c>
    </row>
    <row r="17" customFormat="false" ht="15" hidden="false" customHeight="true" outlineLevel="0" collapsed="false">
      <c r="A17" s="35" t="s">
        <v>178</v>
      </c>
      <c r="B17" s="55" t="n">
        <f aca="false">--(B8&gt;=0)</f>
        <v>0</v>
      </c>
      <c r="C17" s="55" t="n">
        <f aca="false">--(C8&gt;=0)</f>
        <v>0</v>
      </c>
      <c r="D17" s="55" t="n">
        <f aca="false">--(D8&gt;=0)</f>
        <v>1</v>
      </c>
      <c r="E17" s="55" t="n">
        <f aca="false">--(E8&gt;=0)</f>
        <v>1</v>
      </c>
      <c r="F17" s="55" t="n">
        <f aca="false">--(F8&gt;=0)</f>
        <v>1</v>
      </c>
      <c r="G17" s="55" t="n">
        <f aca="false">--(G8&gt;=0)</f>
        <v>1</v>
      </c>
      <c r="H17" s="55" t="n">
        <f aca="false">--(H8&gt;=0)</f>
        <v>1</v>
      </c>
      <c r="I17" s="55" t="n">
        <f aca="false">--(I8&gt;=0)</f>
        <v>1</v>
      </c>
      <c r="J17" s="55" t="n">
        <f aca="false">--(J8&gt;=0)</f>
        <v>1</v>
      </c>
      <c r="K17" s="55" t="n">
        <f aca="false">--(K8&gt;=0)</f>
        <v>1</v>
      </c>
      <c r="L17" s="55" t="n">
        <f aca="false">--(L8&gt;=0)</f>
        <v>1</v>
      </c>
      <c r="M17" s="55" t="n">
        <f aca="false">--(M8&gt;=0)</f>
        <v>1</v>
      </c>
      <c r="N17" s="55" t="n">
        <f aca="false">--(N8&gt;=0)</f>
        <v>1</v>
      </c>
      <c r="O17" s="55" t="n">
        <f aca="false">--(O8&gt;=0)</f>
        <v>1</v>
      </c>
      <c r="P17" s="55" t="n">
        <f aca="false">--(P8&gt;=0)</f>
        <v>1</v>
      </c>
    </row>
  </sheetData>
  <mergeCells count="3">
    <mergeCell ref="A1:Q1"/>
    <mergeCell ref="A2:Q2"/>
    <mergeCell ref="A10:Q10"/>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K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13" min="2" style="1" width="11"/>
    <col collapsed="false" customWidth="true" hidden="false" outlineLevel="0" max="14" min="14" style="1" width="13"/>
  </cols>
  <sheetData>
    <row r="1" customFormat="false" ht="27.75" hidden="false" customHeight="true" outlineLevel="0" collapsed="false">
      <c r="A1" s="2" t="s">
        <v>179</v>
      </c>
      <c r="B1" s="2"/>
      <c r="C1" s="2"/>
      <c r="D1" s="2"/>
      <c r="E1" s="2"/>
      <c r="F1" s="2"/>
      <c r="G1" s="2"/>
      <c r="H1" s="2"/>
      <c r="I1" s="2"/>
      <c r="J1" s="2"/>
      <c r="K1" s="2"/>
      <c r="L1" s="2"/>
      <c r="M1" s="2"/>
      <c r="N1" s="2"/>
    </row>
    <row r="2" customFormat="false" ht="25.5" hidden="false" customHeight="true" outlineLevel="0" collapsed="false">
      <c r="A2" s="11" t="s">
        <v>180</v>
      </c>
      <c r="B2" s="11"/>
      <c r="C2" s="11"/>
      <c r="D2" s="11"/>
      <c r="E2" s="11"/>
      <c r="F2" s="11"/>
      <c r="G2" s="11"/>
      <c r="H2" s="11"/>
      <c r="I2" s="11"/>
      <c r="J2" s="11"/>
      <c r="K2" s="11"/>
      <c r="L2" s="11"/>
      <c r="M2" s="11"/>
      <c r="N2" s="11"/>
    </row>
    <row r="4" customFormat="false" ht="21.75" hidden="false" customHeight="true" outlineLevel="0" collapsed="false">
      <c r="A4" s="56" t="s">
        <v>181</v>
      </c>
      <c r="B4" s="56"/>
      <c r="C4" s="56"/>
      <c r="D4" s="56"/>
      <c r="E4" s="56"/>
      <c r="F4" s="56"/>
      <c r="G4" s="56"/>
      <c r="H4" s="56"/>
      <c r="I4" s="56"/>
      <c r="J4" s="56"/>
      <c r="K4" s="56"/>
      <c r="L4" s="56"/>
      <c r="M4" s="56"/>
      <c r="N4" s="56"/>
    </row>
    <row r="5" customFormat="false" ht="15.75" hidden="false" customHeight="true" outlineLevel="0" collapsed="false">
      <c r="B5" s="33" t="s">
        <v>114</v>
      </c>
      <c r="C5" s="33" t="s">
        <v>115</v>
      </c>
      <c r="D5" s="33" t="s">
        <v>116</v>
      </c>
      <c r="E5" s="33" t="s">
        <v>117</v>
      </c>
      <c r="F5" s="33" t="s">
        <v>118</v>
      </c>
      <c r="G5" s="33" t="s">
        <v>119</v>
      </c>
      <c r="H5" s="33" t="s">
        <v>120</v>
      </c>
      <c r="I5" s="33" t="s">
        <v>121</v>
      </c>
      <c r="J5" s="33" t="s">
        <v>122</v>
      </c>
      <c r="K5" s="33" t="s">
        <v>123</v>
      </c>
      <c r="L5" s="33" t="s">
        <v>124</v>
      </c>
      <c r="M5" s="33" t="s">
        <v>125</v>
      </c>
      <c r="N5" s="33" t="s">
        <v>182</v>
      </c>
    </row>
    <row r="6" customFormat="false" ht="15" hidden="false" customHeight="true" outlineLevel="0" collapsed="false">
      <c r="A6" s="46" t="s">
        <v>183</v>
      </c>
      <c r="B6" s="45" t="n">
        <f aca="false">Inputs!$B$41</f>
        <v>20000</v>
      </c>
      <c r="C6" s="57" t="n">
        <f aca="false">B17</f>
        <v>22181.9880145965</v>
      </c>
      <c r="D6" s="57" t="n">
        <f aca="false">C17</f>
        <v>21063.976029193</v>
      </c>
      <c r="E6" s="57" t="n">
        <f aca="false">D17</f>
        <v>21175.9640437895</v>
      </c>
      <c r="F6" s="57" t="n">
        <f aca="false">E17</f>
        <v>21677.952058386</v>
      </c>
      <c r="G6" s="57" t="n">
        <f aca="false">F17</f>
        <v>22379.9400729825</v>
      </c>
      <c r="H6" s="57" t="n">
        <f aca="false">G17</f>
        <v>23321.928087579</v>
      </c>
      <c r="I6" s="57" t="n">
        <f aca="false">H17</f>
        <v>24173.9161021755</v>
      </c>
      <c r="J6" s="57" t="n">
        <f aca="false">I17</f>
        <v>24785.904116772</v>
      </c>
      <c r="K6" s="57" t="n">
        <f aca="false">J17</f>
        <v>25437.8921313685</v>
      </c>
      <c r="L6" s="57" t="n">
        <f aca="false">K17</f>
        <v>26329.880145965</v>
      </c>
      <c r="M6" s="57" t="n">
        <f aca="false">L17</f>
        <v>27751.8681605615</v>
      </c>
      <c r="N6" s="58" t="n">
        <f aca="false">B6</f>
        <v>20000</v>
      </c>
    </row>
    <row r="7" customFormat="false" ht="15" hidden="false" customHeight="true" outlineLevel="0" collapsed="false">
      <c r="A7" s="46" t="s">
        <v>184</v>
      </c>
    </row>
    <row r="8" customFormat="false" ht="15" hidden="false" customHeight="true" outlineLevel="0" collapsed="false">
      <c r="A8" s="8" t="s">
        <v>185</v>
      </c>
      <c r="B8" s="45" t="n">
        <f aca="false">'Revenue Forecast'!B8*Inputs!$B$12</f>
        <v>5950</v>
      </c>
      <c r="C8" s="45" t="n">
        <f aca="false">'Revenue Forecast'!C8*Inputs!$B$12+'Revenue Forecast'!B8*Inputs!$B$13</f>
        <v>7650</v>
      </c>
      <c r="D8" s="45" t="n">
        <f aca="false">'Revenue Forecast'!D8*Inputs!$B$12+'Revenue Forecast'!C8*Inputs!$B$13+'Revenue Forecast'!B8*Inputs!$B$14</f>
        <v>9200</v>
      </c>
      <c r="E8" s="45" t="n">
        <f aca="false">'Revenue Forecast'!E8*Inputs!$B$12+'Revenue Forecast'!D8*Inputs!$B$13+'Revenue Forecast'!C8*Inputs!$B$14</f>
        <v>9750</v>
      </c>
      <c r="F8" s="45" t="n">
        <f aca="false">'Revenue Forecast'!F8*Inputs!$B$12+'Revenue Forecast'!E8*Inputs!$B$13+'Revenue Forecast'!D8*Inputs!$B$14</f>
        <v>9950</v>
      </c>
      <c r="G8" s="45" t="n">
        <f aca="false">'Revenue Forecast'!G8*Inputs!$B$12+'Revenue Forecast'!F8*Inputs!$B$13+'Revenue Forecast'!E8*Inputs!$B$14</f>
        <v>10350</v>
      </c>
      <c r="H8" s="45" t="n">
        <f aca="false">'Revenue Forecast'!H8*Inputs!$B$12+'Revenue Forecast'!G8*Inputs!$B$13+'Revenue Forecast'!F8*Inputs!$B$14</f>
        <v>10100</v>
      </c>
      <c r="I8" s="45" t="n">
        <f aca="false">'Revenue Forecast'!I8*Inputs!$B$12+'Revenue Forecast'!H8*Inputs!$B$13+'Revenue Forecast'!G8*Inputs!$B$14</f>
        <v>9700</v>
      </c>
      <c r="J8" s="45" t="n">
        <f aca="false">'Revenue Forecast'!J8*Inputs!$B$12+'Revenue Forecast'!I8*Inputs!$B$13+'Revenue Forecast'!H8*Inputs!$B$14</f>
        <v>9900</v>
      </c>
      <c r="K8" s="45" t="n">
        <f aca="false">'Revenue Forecast'!K8*Inputs!$B$12+'Revenue Forecast'!J8*Inputs!$B$13+'Revenue Forecast'!I8*Inputs!$B$14</f>
        <v>10300</v>
      </c>
      <c r="L8" s="45" t="n">
        <f aca="false">'Revenue Forecast'!L8*Inputs!$B$12+'Revenue Forecast'!K8*Inputs!$B$13+'Revenue Forecast'!J8*Inputs!$B$14</f>
        <v>11150</v>
      </c>
      <c r="M8" s="45" t="n">
        <f aca="false">'Revenue Forecast'!M8*Inputs!$B$12+'Revenue Forecast'!L8*Inputs!$B$13+'Revenue Forecast'!K8*Inputs!$B$14</f>
        <v>11750</v>
      </c>
      <c r="N8" s="50" t="n">
        <f aca="false">SUM(B8:M8)</f>
        <v>115750</v>
      </c>
    </row>
    <row r="9" customFormat="false" ht="15" hidden="false" customHeight="true" outlineLevel="0" collapsed="false">
      <c r="A9" s="8" t="s">
        <v>186</v>
      </c>
      <c r="B9" s="45" t="n">
        <f aca="false">Inputs!$B$42</f>
        <v>15000</v>
      </c>
      <c r="C9" s="57" t="n">
        <v>0</v>
      </c>
      <c r="D9" s="57" t="n">
        <v>0</v>
      </c>
      <c r="E9" s="57" t="n">
        <v>0</v>
      </c>
      <c r="F9" s="57" t="n">
        <v>0</v>
      </c>
      <c r="G9" s="57" t="n">
        <v>0</v>
      </c>
      <c r="H9" s="57" t="n">
        <v>0</v>
      </c>
      <c r="I9" s="57" t="n">
        <v>0</v>
      </c>
      <c r="J9" s="57" t="n">
        <v>0</v>
      </c>
      <c r="K9" s="57" t="n">
        <v>0</v>
      </c>
      <c r="L9" s="57" t="n">
        <v>0</v>
      </c>
      <c r="M9" s="57" t="n">
        <v>0</v>
      </c>
      <c r="N9" s="50" t="n">
        <f aca="false">SUM(B9:M9)</f>
        <v>15000</v>
      </c>
    </row>
    <row r="10" customFormat="false" ht="15" hidden="false" customHeight="true" outlineLevel="0" collapsed="false">
      <c r="A10" s="46" t="s">
        <v>187</v>
      </c>
      <c r="B10" s="48" t="n">
        <f aca="false">SUM(B8:B9)</f>
        <v>20950</v>
      </c>
      <c r="C10" s="48" t="n">
        <f aca="false">SUM(C8:C9)</f>
        <v>7650</v>
      </c>
      <c r="D10" s="48" t="n">
        <f aca="false">SUM(D8:D9)</f>
        <v>9200</v>
      </c>
      <c r="E10" s="48" t="n">
        <f aca="false">SUM(E8:E9)</f>
        <v>9750</v>
      </c>
      <c r="F10" s="48" t="n">
        <f aca="false">SUM(F8:F9)</f>
        <v>9950</v>
      </c>
      <c r="G10" s="48" t="n">
        <f aca="false">SUM(G8:G9)</f>
        <v>10350</v>
      </c>
      <c r="H10" s="48" t="n">
        <f aca="false">SUM(H8:H9)</f>
        <v>10100</v>
      </c>
      <c r="I10" s="48" t="n">
        <f aca="false">SUM(I8:I9)</f>
        <v>9700</v>
      </c>
      <c r="J10" s="48" t="n">
        <f aca="false">SUM(J8:J9)</f>
        <v>9900</v>
      </c>
      <c r="K10" s="48" t="n">
        <f aca="false">SUM(K8:K9)</f>
        <v>10300</v>
      </c>
      <c r="L10" s="48" t="n">
        <f aca="false">SUM(L8:L9)</f>
        <v>11150</v>
      </c>
      <c r="M10" s="48" t="n">
        <f aca="false">SUM(M8:M9)</f>
        <v>11750</v>
      </c>
      <c r="N10" s="50" t="n">
        <f aca="false">SUM(B10:M10)</f>
        <v>130750</v>
      </c>
    </row>
    <row r="11" customFormat="false" ht="15" hidden="false" customHeight="true" outlineLevel="0" collapsed="false">
      <c r="A11" s="46" t="s">
        <v>188</v>
      </c>
    </row>
    <row r="12" customFormat="false" ht="15" hidden="false" customHeight="true" outlineLevel="0" collapsed="false">
      <c r="A12" s="8" t="s">
        <v>189</v>
      </c>
      <c r="B12" s="45" t="n">
        <f aca="false">Inputs!$B$35</f>
        <v>10000</v>
      </c>
      <c r="C12" s="57" t="n">
        <v>0</v>
      </c>
      <c r="D12" s="57" t="n">
        <v>0</v>
      </c>
      <c r="E12" s="57" t="n">
        <v>0</v>
      </c>
      <c r="F12" s="57" t="n">
        <v>0</v>
      </c>
      <c r="G12" s="57" t="n">
        <v>0</v>
      </c>
      <c r="H12" s="57" t="n">
        <v>0</v>
      </c>
      <c r="I12" s="57" t="n">
        <v>0</v>
      </c>
      <c r="J12" s="57" t="n">
        <v>0</v>
      </c>
      <c r="K12" s="57" t="n">
        <v>0</v>
      </c>
      <c r="L12" s="57" t="n">
        <v>0</v>
      </c>
      <c r="M12" s="57" t="n">
        <v>0</v>
      </c>
      <c r="N12" s="50" t="n">
        <f aca="false">SUM(B12:M12)</f>
        <v>10000</v>
      </c>
    </row>
    <row r="13" customFormat="false" ht="15" hidden="false" customHeight="true" outlineLevel="0" collapsed="false">
      <c r="A13" s="8" t="s">
        <v>190</v>
      </c>
      <c r="B13" s="45" t="n">
        <f aca="false">'Expense Forecast'!B4</f>
        <v>6048.0119854035</v>
      </c>
      <c r="C13" s="45" t="n">
        <f aca="false">'Expense Forecast'!C4</f>
        <v>6048.0119854035</v>
      </c>
      <c r="D13" s="45" t="n">
        <f aca="false">'Expense Forecast'!D4</f>
        <v>6048.0119854035</v>
      </c>
      <c r="E13" s="45" t="n">
        <f aca="false">'Expense Forecast'!E4</f>
        <v>6048.0119854035</v>
      </c>
      <c r="F13" s="45" t="n">
        <f aca="false">'Expense Forecast'!F4</f>
        <v>6048.0119854035</v>
      </c>
      <c r="G13" s="45" t="n">
        <f aca="false">'Expense Forecast'!G4</f>
        <v>6048.0119854035</v>
      </c>
      <c r="H13" s="45" t="n">
        <f aca="false">'Expense Forecast'!H4</f>
        <v>6048.0119854035</v>
      </c>
      <c r="I13" s="45" t="n">
        <f aca="false">'Expense Forecast'!I4</f>
        <v>6048.0119854035</v>
      </c>
      <c r="J13" s="45" t="n">
        <f aca="false">'Expense Forecast'!J4</f>
        <v>6048.0119854035</v>
      </c>
      <c r="K13" s="45" t="n">
        <f aca="false">'Expense Forecast'!K4</f>
        <v>6048.0119854035</v>
      </c>
      <c r="L13" s="45" t="n">
        <f aca="false">'Expense Forecast'!L4</f>
        <v>6048.0119854035</v>
      </c>
      <c r="M13" s="45" t="n">
        <f aca="false">'Expense Forecast'!M4</f>
        <v>6048.0119854035</v>
      </c>
      <c r="N13" s="50" t="n">
        <f aca="false">SUM(B13:M13)</f>
        <v>72576.143824842</v>
      </c>
    </row>
    <row r="14" customFormat="false" ht="15" hidden="false" customHeight="true" outlineLevel="0" collapsed="false">
      <c r="A14" s="8" t="s">
        <v>191</v>
      </c>
      <c r="B14" s="45" t="n">
        <f aca="false">'Expense Forecast'!B5</f>
        <v>2720</v>
      </c>
      <c r="C14" s="45" t="n">
        <f aca="false">'Expense Forecast'!C5</f>
        <v>2720</v>
      </c>
      <c r="D14" s="45" t="n">
        <f aca="false">'Expense Forecast'!D5</f>
        <v>3040</v>
      </c>
      <c r="E14" s="45" t="n">
        <f aca="false">'Expense Forecast'!E5</f>
        <v>3200</v>
      </c>
      <c r="F14" s="45" t="n">
        <f aca="false">'Expense Forecast'!F5</f>
        <v>3200</v>
      </c>
      <c r="G14" s="45" t="n">
        <f aca="false">'Expense Forecast'!G5</f>
        <v>3360</v>
      </c>
      <c r="H14" s="45" t="n">
        <f aca="false">'Expense Forecast'!H5</f>
        <v>3200</v>
      </c>
      <c r="I14" s="45" t="n">
        <f aca="false">'Expense Forecast'!I5</f>
        <v>3040</v>
      </c>
      <c r="J14" s="45" t="n">
        <f aca="false">'Expense Forecast'!J5</f>
        <v>3200</v>
      </c>
      <c r="K14" s="45" t="n">
        <f aca="false">'Expense Forecast'!K5</f>
        <v>3360</v>
      </c>
      <c r="L14" s="45" t="n">
        <f aca="false">'Expense Forecast'!L5</f>
        <v>3680</v>
      </c>
      <c r="M14" s="45" t="n">
        <f aca="false">'Expense Forecast'!M5</f>
        <v>3840</v>
      </c>
      <c r="N14" s="50" t="n">
        <f aca="false">SUM(B14:M14)</f>
        <v>38560</v>
      </c>
    </row>
    <row r="15" customFormat="false" ht="15" hidden="false" customHeight="true" outlineLevel="0" collapsed="false">
      <c r="A15" s="46" t="s">
        <v>192</v>
      </c>
      <c r="B15" s="48" t="n">
        <f aca="false">SUM(B12:B14)</f>
        <v>18768.0119854035</v>
      </c>
      <c r="C15" s="48" t="n">
        <f aca="false">SUM(C12:C14)</f>
        <v>8768.0119854035</v>
      </c>
      <c r="D15" s="48" t="n">
        <f aca="false">SUM(D12:D14)</f>
        <v>9088.0119854035</v>
      </c>
      <c r="E15" s="48" t="n">
        <f aca="false">SUM(E12:E14)</f>
        <v>9248.0119854035</v>
      </c>
      <c r="F15" s="48" t="n">
        <f aca="false">SUM(F12:F14)</f>
        <v>9248.0119854035</v>
      </c>
      <c r="G15" s="48" t="n">
        <f aca="false">SUM(G12:G14)</f>
        <v>9408.0119854035</v>
      </c>
      <c r="H15" s="48" t="n">
        <f aca="false">SUM(H12:H14)</f>
        <v>9248.0119854035</v>
      </c>
      <c r="I15" s="48" t="n">
        <f aca="false">SUM(I12:I14)</f>
        <v>9088.0119854035</v>
      </c>
      <c r="J15" s="48" t="n">
        <f aca="false">SUM(J12:J14)</f>
        <v>9248.0119854035</v>
      </c>
      <c r="K15" s="48" t="n">
        <f aca="false">SUM(K12:K14)</f>
        <v>9408.0119854035</v>
      </c>
      <c r="L15" s="48" t="n">
        <f aca="false">SUM(L12:L14)</f>
        <v>9728.0119854035</v>
      </c>
      <c r="M15" s="48" t="n">
        <f aca="false">SUM(M12:M14)</f>
        <v>9888.0119854035</v>
      </c>
      <c r="N15" s="50" t="n">
        <f aca="false">SUM(B15:M15)</f>
        <v>121136.143824842</v>
      </c>
    </row>
    <row r="16" customFormat="false" ht="15" hidden="false" customHeight="true" outlineLevel="0" collapsed="false">
      <c r="A16" s="46" t="s">
        <v>193</v>
      </c>
      <c r="B16" s="52" t="n">
        <f aca="false">B10-B15</f>
        <v>2181.9880145965</v>
      </c>
      <c r="C16" s="52" t="n">
        <f aca="false">C10-C15</f>
        <v>-1118.0119854035</v>
      </c>
      <c r="D16" s="52" t="n">
        <f aca="false">D10-D15</f>
        <v>111.988014596503</v>
      </c>
      <c r="E16" s="52" t="n">
        <f aca="false">E10-E15</f>
        <v>501.988014596504</v>
      </c>
      <c r="F16" s="52" t="n">
        <f aca="false">F10-F15</f>
        <v>701.988014596504</v>
      </c>
      <c r="G16" s="52" t="n">
        <f aca="false">G10-G15</f>
        <v>941.988014596504</v>
      </c>
      <c r="H16" s="52" t="n">
        <f aca="false">H10-H15</f>
        <v>851.988014596504</v>
      </c>
      <c r="I16" s="52" t="n">
        <f aca="false">I10-I15</f>
        <v>611.988014596504</v>
      </c>
      <c r="J16" s="52" t="n">
        <f aca="false">J10-J15</f>
        <v>651.988014596504</v>
      </c>
      <c r="K16" s="52" t="n">
        <f aca="false">K10-K15</f>
        <v>891.988014596504</v>
      </c>
      <c r="L16" s="52" t="n">
        <f aca="false">L10-L15</f>
        <v>1421.9880145965</v>
      </c>
      <c r="M16" s="52" t="n">
        <f aca="false">M10-M15</f>
        <v>1861.9880145965</v>
      </c>
      <c r="N16" s="50" t="n">
        <f aca="false">SUM(B16:M16)</f>
        <v>9613.85617515804</v>
      </c>
    </row>
    <row r="17" customFormat="false" ht="15" hidden="false" customHeight="true" outlineLevel="0" collapsed="false">
      <c r="A17" s="46" t="s">
        <v>194</v>
      </c>
      <c r="B17" s="50" t="n">
        <f aca="false">B6+B16</f>
        <v>22181.9880145965</v>
      </c>
      <c r="C17" s="50" t="n">
        <f aca="false">C6+C16</f>
        <v>21063.976029193</v>
      </c>
      <c r="D17" s="50" t="n">
        <f aca="false">D6+D16</f>
        <v>21175.9640437895</v>
      </c>
      <c r="E17" s="50" t="n">
        <f aca="false">E6+E16</f>
        <v>21677.952058386</v>
      </c>
      <c r="F17" s="50" t="n">
        <f aca="false">F6+F16</f>
        <v>22379.9400729825</v>
      </c>
      <c r="G17" s="50" t="n">
        <f aca="false">G6+G16</f>
        <v>23321.928087579</v>
      </c>
      <c r="H17" s="50" t="n">
        <f aca="false">H6+H16</f>
        <v>24173.9161021755</v>
      </c>
      <c r="I17" s="50" t="n">
        <f aca="false">I6+I16</f>
        <v>24785.904116772</v>
      </c>
      <c r="J17" s="50" t="n">
        <f aca="false">J6+J16</f>
        <v>25437.8921313685</v>
      </c>
      <c r="K17" s="50" t="n">
        <f aca="false">K6+K16</f>
        <v>26329.880145965</v>
      </c>
      <c r="L17" s="50" t="n">
        <f aca="false">L6+L16</f>
        <v>27751.8681605615</v>
      </c>
      <c r="M17" s="50" t="n">
        <f aca="false">M6+M16</f>
        <v>29613.856175158</v>
      </c>
      <c r="N17" s="50" t="n">
        <f aca="false">M17</f>
        <v>29613.856175158</v>
      </c>
    </row>
    <row r="19" customFormat="false" ht="21.75" hidden="false" customHeight="true" outlineLevel="0" collapsed="false">
      <c r="A19" s="59" t="s">
        <v>195</v>
      </c>
      <c r="B19" s="59"/>
      <c r="C19" s="59"/>
      <c r="D19" s="59"/>
      <c r="E19" s="59"/>
      <c r="F19" s="59"/>
      <c r="G19" s="59"/>
      <c r="H19" s="59"/>
      <c r="I19" s="59"/>
      <c r="J19" s="59"/>
      <c r="K19" s="59"/>
      <c r="L19" s="59"/>
      <c r="M19" s="59"/>
      <c r="N19" s="59"/>
    </row>
    <row r="20" customFormat="false" ht="15.75" hidden="false" customHeight="true" outlineLevel="0" collapsed="false">
      <c r="B20" s="33" t="s">
        <v>114</v>
      </c>
      <c r="C20" s="33" t="s">
        <v>115</v>
      </c>
      <c r="D20" s="33" t="s">
        <v>116</v>
      </c>
      <c r="E20" s="33" t="s">
        <v>117</v>
      </c>
      <c r="F20" s="33" t="s">
        <v>118</v>
      </c>
      <c r="G20" s="33" t="s">
        <v>119</v>
      </c>
      <c r="H20" s="33" t="s">
        <v>120</v>
      </c>
      <c r="I20" s="33" t="s">
        <v>121</v>
      </c>
      <c r="J20" s="33" t="s">
        <v>122</v>
      </c>
      <c r="K20" s="33" t="s">
        <v>123</v>
      </c>
      <c r="L20" s="33" t="s">
        <v>124</v>
      </c>
      <c r="M20" s="33" t="s">
        <v>125</v>
      </c>
      <c r="N20" s="60" t="s">
        <v>196</v>
      </c>
    </row>
    <row r="21" customFormat="false" ht="15" hidden="false" customHeight="true" outlineLevel="0" collapsed="false">
      <c r="A21" s="46" t="s">
        <v>183</v>
      </c>
      <c r="B21" s="57" t="n">
        <f aca="false">M17</f>
        <v>29613.856175158</v>
      </c>
      <c r="C21" s="57" t="n">
        <f aca="false">B32</f>
        <v>30648.9038301924</v>
      </c>
      <c r="D21" s="57" t="n">
        <f aca="false">C32</f>
        <v>31288.9514852268</v>
      </c>
      <c r="E21" s="57" t="n">
        <f aca="false">D32</f>
        <v>32143.4991402612</v>
      </c>
      <c r="F21" s="57" t="n">
        <f aca="false">E32</f>
        <v>33446.5467952956</v>
      </c>
      <c r="G21" s="57" t="n">
        <f aca="false">F32</f>
        <v>34979.59445033</v>
      </c>
      <c r="H21" s="57" t="n">
        <f aca="false">G32</f>
        <v>36788.6421053644</v>
      </c>
      <c r="I21" s="57" t="n">
        <f aca="false">H32</f>
        <v>38494.1897603988</v>
      </c>
      <c r="J21" s="57" t="n">
        <f aca="false">I32</f>
        <v>39923.7374154332</v>
      </c>
      <c r="K21" s="57" t="n">
        <f aca="false">J32</f>
        <v>41399.2850704676</v>
      </c>
      <c r="L21" s="57" t="n">
        <f aca="false">K32</f>
        <v>43150.832725502</v>
      </c>
      <c r="M21" s="57" t="n">
        <f aca="false">L32</f>
        <v>45511.8803805364</v>
      </c>
      <c r="N21" s="61" t="n">
        <f aca="false">B21</f>
        <v>29613.856175158</v>
      </c>
    </row>
    <row r="22" customFormat="false" ht="15" hidden="false" customHeight="true" outlineLevel="0" collapsed="false">
      <c r="A22" s="46" t="s">
        <v>184</v>
      </c>
    </row>
    <row r="23" customFormat="false" ht="15" hidden="false" customHeight="true" outlineLevel="0" collapsed="false">
      <c r="A23" s="8" t="s">
        <v>185</v>
      </c>
      <c r="B23" s="45" t="n">
        <f aca="false">'Revenue Forecast'!O8*Inputs!$B$12+'Revenue Forecast'!M8*Inputs!$B$13+'Revenue Forecast'!L8*Inputs!$B$14</f>
        <v>10392.5</v>
      </c>
      <c r="C23" s="45" t="n">
        <f aca="false">'Revenue Forecast'!P8*Inputs!$B$12+'Revenue Forecast'!O8*Inputs!$B$13+'Revenue Forecast'!M8*Inputs!$B$14</f>
        <v>9997.5</v>
      </c>
      <c r="D23" s="45" t="n">
        <f aca="false">'Revenue Forecast'!Q8*Inputs!$B$12+'Revenue Forecast'!P8*Inputs!$B$13+'Revenue Forecast'!O8*Inputs!$B$14</f>
        <v>10580</v>
      </c>
      <c r="E23" s="45" t="n">
        <f aca="false">'Revenue Forecast'!R8*Inputs!$B$12+'Revenue Forecast'!Q8*Inputs!$B$13+'Revenue Forecast'!P8*Inputs!$B$14</f>
        <v>11212.5</v>
      </c>
      <c r="F23" s="45" t="n">
        <f aca="false">'Revenue Forecast'!S8*Inputs!$B$12+'Revenue Forecast'!R8*Inputs!$B$13+'Revenue Forecast'!Q8*Inputs!$B$14</f>
        <v>11442.5</v>
      </c>
      <c r="G23" s="45" t="n">
        <f aca="false">'Revenue Forecast'!T8*Inputs!$B$12+'Revenue Forecast'!S8*Inputs!$B$13+'Revenue Forecast'!R8*Inputs!$B$14</f>
        <v>11902.5</v>
      </c>
      <c r="H23" s="45" t="n">
        <f aca="false">'Revenue Forecast'!U8*Inputs!$B$12+'Revenue Forecast'!T8*Inputs!$B$13+'Revenue Forecast'!S8*Inputs!$B$14</f>
        <v>11615</v>
      </c>
      <c r="I23" s="45" t="n">
        <f aca="false">'Revenue Forecast'!V8*Inputs!$B$12+'Revenue Forecast'!U8*Inputs!$B$13+'Revenue Forecast'!T8*Inputs!$B$14</f>
        <v>11155</v>
      </c>
      <c r="J23" s="45" t="n">
        <f aca="false">'Revenue Forecast'!W8*Inputs!$B$12+'Revenue Forecast'!V8*Inputs!$B$13+'Revenue Forecast'!U8*Inputs!$B$14</f>
        <v>11385</v>
      </c>
      <c r="K23" s="45" t="n">
        <f aca="false">'Revenue Forecast'!X8*Inputs!$B$12+'Revenue Forecast'!W8*Inputs!$B$13+'Revenue Forecast'!V8*Inputs!$B$14</f>
        <v>11845</v>
      </c>
      <c r="L23" s="45" t="n">
        <f aca="false">'Revenue Forecast'!Y8*Inputs!$B$12+'Revenue Forecast'!X8*Inputs!$B$13+'Revenue Forecast'!W8*Inputs!$B$14</f>
        <v>12822.5</v>
      </c>
      <c r="M23" s="45" t="n">
        <f aca="false">'Revenue Forecast'!Z8*Inputs!$B$12+'Revenue Forecast'!Y8*Inputs!$B$13+'Revenue Forecast'!X8*Inputs!$B$14</f>
        <v>13512.5</v>
      </c>
      <c r="N23" s="62" t="n">
        <f aca="false">SUM(B23:M23)</f>
        <v>137862.5</v>
      </c>
    </row>
    <row r="24" customFormat="false" ht="15" hidden="false" customHeight="true" outlineLevel="0" collapsed="false">
      <c r="A24" s="8" t="s">
        <v>186</v>
      </c>
      <c r="B24" s="57" t="n">
        <v>0</v>
      </c>
      <c r="C24" s="57" t="n">
        <v>0</v>
      </c>
      <c r="D24" s="57" t="n">
        <v>0</v>
      </c>
      <c r="E24" s="57" t="n">
        <v>0</v>
      </c>
      <c r="F24" s="57" t="n">
        <v>0</v>
      </c>
      <c r="G24" s="57" t="n">
        <v>0</v>
      </c>
      <c r="H24" s="57" t="n">
        <v>0</v>
      </c>
      <c r="I24" s="57" t="n">
        <v>0</v>
      </c>
      <c r="J24" s="57" t="n">
        <v>0</v>
      </c>
      <c r="K24" s="57" t="n">
        <v>0</v>
      </c>
      <c r="L24" s="57" t="n">
        <v>0</v>
      </c>
      <c r="M24" s="57" t="n">
        <v>0</v>
      </c>
      <c r="N24" s="62" t="n">
        <f aca="false">SUM(B24:M24)</f>
        <v>0</v>
      </c>
    </row>
    <row r="25" customFormat="false" ht="15" hidden="false" customHeight="true" outlineLevel="0" collapsed="false">
      <c r="A25" s="46" t="s">
        <v>187</v>
      </c>
      <c r="B25" s="48" t="n">
        <f aca="false">SUM(B23:B24)</f>
        <v>10392.5</v>
      </c>
      <c r="C25" s="48" t="n">
        <f aca="false">SUM(C23:C24)</f>
        <v>9997.5</v>
      </c>
      <c r="D25" s="48" t="n">
        <f aca="false">SUM(D23:D24)</f>
        <v>10580</v>
      </c>
      <c r="E25" s="48" t="n">
        <f aca="false">SUM(E23:E24)</f>
        <v>11212.5</v>
      </c>
      <c r="F25" s="48" t="n">
        <f aca="false">SUM(F23:F24)</f>
        <v>11442.5</v>
      </c>
      <c r="G25" s="48" t="n">
        <f aca="false">SUM(G23:G24)</f>
        <v>11902.5</v>
      </c>
      <c r="H25" s="48" t="n">
        <f aca="false">SUM(H23:H24)</f>
        <v>11615</v>
      </c>
      <c r="I25" s="48" t="n">
        <f aca="false">SUM(I23:I24)</f>
        <v>11155</v>
      </c>
      <c r="J25" s="48" t="n">
        <f aca="false">SUM(J23:J24)</f>
        <v>11385</v>
      </c>
      <c r="K25" s="48" t="n">
        <f aca="false">SUM(K23:K24)</f>
        <v>11845</v>
      </c>
      <c r="L25" s="48" t="n">
        <f aca="false">SUM(L23:L24)</f>
        <v>12822.5</v>
      </c>
      <c r="M25" s="48" t="n">
        <f aca="false">SUM(M23:M24)</f>
        <v>13512.5</v>
      </c>
      <c r="N25" s="62" t="n">
        <f aca="false">SUM(B25:M25)</f>
        <v>137862.5</v>
      </c>
    </row>
    <row r="26" customFormat="false" ht="15" hidden="false" customHeight="true" outlineLevel="0" collapsed="false">
      <c r="A26" s="46" t="s">
        <v>188</v>
      </c>
    </row>
    <row r="27" customFormat="false" ht="15" hidden="false" customHeight="true" outlineLevel="0" collapsed="false">
      <c r="A27" s="8" t="s">
        <v>189</v>
      </c>
      <c r="B27" s="57" t="n">
        <v>0</v>
      </c>
      <c r="C27" s="57" t="n">
        <v>0</v>
      </c>
      <c r="D27" s="57" t="n">
        <v>0</v>
      </c>
      <c r="E27" s="57" t="n">
        <v>0</v>
      </c>
      <c r="F27" s="57" t="n">
        <v>0</v>
      </c>
      <c r="G27" s="57" t="n">
        <v>0</v>
      </c>
      <c r="H27" s="57" t="n">
        <v>0</v>
      </c>
      <c r="I27" s="57" t="n">
        <v>0</v>
      </c>
      <c r="J27" s="57" t="n">
        <v>0</v>
      </c>
      <c r="K27" s="57" t="n">
        <v>0</v>
      </c>
      <c r="L27" s="57" t="n">
        <v>0</v>
      </c>
      <c r="M27" s="57" t="n">
        <v>0</v>
      </c>
      <c r="N27" s="62" t="n">
        <f aca="false">SUM(B27:M27)</f>
        <v>0</v>
      </c>
    </row>
    <row r="28" customFormat="false" ht="15" hidden="false" customHeight="true" outlineLevel="0" collapsed="false">
      <c r="A28" s="8" t="s">
        <v>190</v>
      </c>
      <c r="B28" s="45" t="n">
        <f aca="false">'Expense Forecast'!O4</f>
        <v>6229.4523449656</v>
      </c>
      <c r="C28" s="45" t="n">
        <f aca="false">'Expense Forecast'!P4</f>
        <v>6229.4523449656</v>
      </c>
      <c r="D28" s="45" t="n">
        <f aca="false">'Expense Forecast'!Q4</f>
        <v>6229.4523449656</v>
      </c>
      <c r="E28" s="45" t="n">
        <f aca="false">'Expense Forecast'!R4</f>
        <v>6229.4523449656</v>
      </c>
      <c r="F28" s="45" t="n">
        <f aca="false">'Expense Forecast'!S4</f>
        <v>6229.4523449656</v>
      </c>
      <c r="G28" s="45" t="n">
        <f aca="false">'Expense Forecast'!T4</f>
        <v>6229.4523449656</v>
      </c>
      <c r="H28" s="45" t="n">
        <f aca="false">'Expense Forecast'!U4</f>
        <v>6229.4523449656</v>
      </c>
      <c r="I28" s="45" t="n">
        <f aca="false">'Expense Forecast'!V4</f>
        <v>6229.4523449656</v>
      </c>
      <c r="J28" s="45" t="n">
        <f aca="false">'Expense Forecast'!W4</f>
        <v>6229.4523449656</v>
      </c>
      <c r="K28" s="45" t="n">
        <f aca="false">'Expense Forecast'!X4</f>
        <v>6229.4523449656</v>
      </c>
      <c r="L28" s="45" t="n">
        <f aca="false">'Expense Forecast'!Y4</f>
        <v>6229.4523449656</v>
      </c>
      <c r="M28" s="45" t="n">
        <f aca="false">'Expense Forecast'!Z4</f>
        <v>6229.4523449656</v>
      </c>
      <c r="N28" s="62" t="n">
        <f aca="false">SUM(B28:M28)</f>
        <v>74753.4281395872</v>
      </c>
    </row>
    <row r="29" customFormat="false" ht="15" hidden="false" customHeight="true" outlineLevel="0" collapsed="false">
      <c r="A29" s="8" t="s">
        <v>191</v>
      </c>
      <c r="B29" s="45" t="n">
        <f aca="false">'Expense Forecast'!O5</f>
        <v>3128</v>
      </c>
      <c r="C29" s="45" t="n">
        <f aca="false">'Expense Forecast'!P5</f>
        <v>3128</v>
      </c>
      <c r="D29" s="45" t="n">
        <f aca="false">'Expense Forecast'!Q5</f>
        <v>3496</v>
      </c>
      <c r="E29" s="45" t="n">
        <f aca="false">'Expense Forecast'!R5</f>
        <v>3680</v>
      </c>
      <c r="F29" s="45" t="n">
        <f aca="false">'Expense Forecast'!S5</f>
        <v>3680</v>
      </c>
      <c r="G29" s="45" t="n">
        <f aca="false">'Expense Forecast'!T5</f>
        <v>3864</v>
      </c>
      <c r="H29" s="45" t="n">
        <f aca="false">'Expense Forecast'!U5</f>
        <v>3680</v>
      </c>
      <c r="I29" s="45" t="n">
        <f aca="false">'Expense Forecast'!V5</f>
        <v>3496</v>
      </c>
      <c r="J29" s="45" t="n">
        <f aca="false">'Expense Forecast'!W5</f>
        <v>3680</v>
      </c>
      <c r="K29" s="45" t="n">
        <f aca="false">'Expense Forecast'!X5</f>
        <v>3864</v>
      </c>
      <c r="L29" s="45" t="n">
        <f aca="false">'Expense Forecast'!Y5</f>
        <v>4232</v>
      </c>
      <c r="M29" s="45" t="n">
        <f aca="false">'Expense Forecast'!Z5</f>
        <v>4416</v>
      </c>
      <c r="N29" s="62" t="n">
        <f aca="false">SUM(B29:M29)</f>
        <v>44344</v>
      </c>
    </row>
    <row r="30" customFormat="false" ht="15" hidden="false" customHeight="true" outlineLevel="0" collapsed="false">
      <c r="A30" s="46" t="s">
        <v>192</v>
      </c>
      <c r="B30" s="48" t="n">
        <f aca="false">SUM(B27:B29)</f>
        <v>9357.4523449656</v>
      </c>
      <c r="C30" s="48" t="n">
        <f aca="false">SUM(C27:C29)</f>
        <v>9357.4523449656</v>
      </c>
      <c r="D30" s="48" t="n">
        <f aca="false">SUM(D27:D29)</f>
        <v>9725.4523449656</v>
      </c>
      <c r="E30" s="48" t="n">
        <f aca="false">SUM(E27:E29)</f>
        <v>9909.4523449656</v>
      </c>
      <c r="F30" s="48" t="n">
        <f aca="false">SUM(F27:F29)</f>
        <v>9909.4523449656</v>
      </c>
      <c r="G30" s="48" t="n">
        <f aca="false">SUM(G27:G29)</f>
        <v>10093.4523449656</v>
      </c>
      <c r="H30" s="48" t="n">
        <f aca="false">SUM(H27:H29)</f>
        <v>9909.4523449656</v>
      </c>
      <c r="I30" s="48" t="n">
        <f aca="false">SUM(I27:I29)</f>
        <v>9725.4523449656</v>
      </c>
      <c r="J30" s="48" t="n">
        <f aca="false">SUM(J27:J29)</f>
        <v>9909.4523449656</v>
      </c>
      <c r="K30" s="48" t="n">
        <f aca="false">SUM(K27:K29)</f>
        <v>10093.4523449656</v>
      </c>
      <c r="L30" s="48" t="n">
        <f aca="false">SUM(L27:L29)</f>
        <v>10461.4523449656</v>
      </c>
      <c r="M30" s="48" t="n">
        <f aca="false">SUM(M27:M29)</f>
        <v>10645.4523449656</v>
      </c>
      <c r="N30" s="62" t="n">
        <f aca="false">SUM(B30:M30)</f>
        <v>119097.428139587</v>
      </c>
    </row>
    <row r="31" customFormat="false" ht="15" hidden="false" customHeight="true" outlineLevel="0" collapsed="false">
      <c r="A31" s="46" t="s">
        <v>193</v>
      </c>
      <c r="B31" s="52" t="n">
        <f aca="false">B25-B30</f>
        <v>1035.0476550344</v>
      </c>
      <c r="C31" s="52" t="n">
        <f aca="false">C25-C30</f>
        <v>640.047655034397</v>
      </c>
      <c r="D31" s="52" t="n">
        <f aca="false">D25-D30</f>
        <v>854.547655034397</v>
      </c>
      <c r="E31" s="52" t="n">
        <f aca="false">E25-E30</f>
        <v>1303.0476550344</v>
      </c>
      <c r="F31" s="52" t="n">
        <f aca="false">F25-F30</f>
        <v>1533.0476550344</v>
      </c>
      <c r="G31" s="52" t="n">
        <f aca="false">G25-G30</f>
        <v>1809.0476550344</v>
      </c>
      <c r="H31" s="52" t="n">
        <f aca="false">H25-H30</f>
        <v>1705.5476550344</v>
      </c>
      <c r="I31" s="52" t="n">
        <f aca="false">I25-I30</f>
        <v>1429.5476550344</v>
      </c>
      <c r="J31" s="52" t="n">
        <f aca="false">J25-J30</f>
        <v>1475.5476550344</v>
      </c>
      <c r="K31" s="52" t="n">
        <f aca="false">K25-K30</f>
        <v>1751.5476550344</v>
      </c>
      <c r="L31" s="52" t="n">
        <f aca="false">L25-L30</f>
        <v>2361.0476550344</v>
      </c>
      <c r="M31" s="52" t="n">
        <f aca="false">M25-M30</f>
        <v>2867.0476550344</v>
      </c>
      <c r="N31" s="62" t="n">
        <f aca="false">SUM(B31:M31)</f>
        <v>18765.0718604128</v>
      </c>
    </row>
    <row r="32" customFormat="false" ht="15" hidden="false" customHeight="true" outlineLevel="0" collapsed="false">
      <c r="A32" s="46" t="s">
        <v>194</v>
      </c>
      <c r="B32" s="62" t="n">
        <f aca="false">B21+B31</f>
        <v>30648.9038301924</v>
      </c>
      <c r="C32" s="62" t="n">
        <f aca="false">C21+C31</f>
        <v>31288.9514852268</v>
      </c>
      <c r="D32" s="62" t="n">
        <f aca="false">D21+D31</f>
        <v>32143.4991402612</v>
      </c>
      <c r="E32" s="62" t="n">
        <f aca="false">E21+E31</f>
        <v>33446.5467952956</v>
      </c>
      <c r="F32" s="62" t="n">
        <f aca="false">F21+F31</f>
        <v>34979.59445033</v>
      </c>
      <c r="G32" s="62" t="n">
        <f aca="false">G21+G31</f>
        <v>36788.6421053644</v>
      </c>
      <c r="H32" s="62" t="n">
        <f aca="false">H21+H31</f>
        <v>38494.1897603988</v>
      </c>
      <c r="I32" s="62" t="n">
        <f aca="false">I21+I31</f>
        <v>39923.7374154332</v>
      </c>
      <c r="J32" s="62" t="n">
        <f aca="false">J21+J31</f>
        <v>41399.2850704676</v>
      </c>
      <c r="K32" s="62" t="n">
        <f aca="false">K21+K31</f>
        <v>43150.832725502</v>
      </c>
      <c r="L32" s="62" t="n">
        <f aca="false">L21+L31</f>
        <v>45511.8803805364</v>
      </c>
      <c r="M32" s="62" t="n">
        <f aca="false">M21+M31</f>
        <v>48378.9280355708</v>
      </c>
      <c r="N32" s="62" t="n">
        <f aca="false">M32</f>
        <v>48378.9280355708</v>
      </c>
    </row>
    <row r="34" customFormat="false" ht="21.75" hidden="false" customHeight="true" outlineLevel="0" collapsed="false">
      <c r="A34" s="63" t="s">
        <v>197</v>
      </c>
      <c r="B34" s="63"/>
      <c r="C34" s="63"/>
      <c r="D34" s="63"/>
      <c r="E34" s="63"/>
      <c r="F34" s="63"/>
      <c r="G34" s="63"/>
      <c r="H34" s="63"/>
      <c r="I34" s="63"/>
      <c r="J34" s="63"/>
      <c r="K34" s="63"/>
      <c r="L34" s="63"/>
      <c r="M34" s="63"/>
      <c r="N34" s="63"/>
    </row>
    <row r="35" customFormat="false" ht="15.75" hidden="false" customHeight="true" outlineLevel="0" collapsed="false">
      <c r="B35" s="33" t="s">
        <v>114</v>
      </c>
      <c r="C35" s="33" t="s">
        <v>115</v>
      </c>
      <c r="D35" s="33" t="s">
        <v>116</v>
      </c>
      <c r="E35" s="33" t="s">
        <v>117</v>
      </c>
      <c r="F35" s="33" t="s">
        <v>118</v>
      </c>
      <c r="G35" s="33" t="s">
        <v>119</v>
      </c>
      <c r="H35" s="33" t="s">
        <v>120</v>
      </c>
      <c r="I35" s="33" t="s">
        <v>121</v>
      </c>
      <c r="J35" s="33" t="s">
        <v>122</v>
      </c>
      <c r="K35" s="33" t="s">
        <v>123</v>
      </c>
      <c r="L35" s="33" t="s">
        <v>124</v>
      </c>
      <c r="M35" s="33" t="s">
        <v>125</v>
      </c>
      <c r="N35" s="34" t="s">
        <v>198</v>
      </c>
    </row>
    <row r="36" customFormat="false" ht="15" hidden="false" customHeight="true" outlineLevel="0" collapsed="false">
      <c r="A36" s="46" t="s">
        <v>183</v>
      </c>
      <c r="B36" s="57" t="n">
        <f aca="false">M32</f>
        <v>48378.9280355708</v>
      </c>
      <c r="C36" s="57" t="n">
        <f aca="false">B47</f>
        <v>50316.7671202562</v>
      </c>
      <c r="D36" s="57" t="n">
        <f aca="false">C47</f>
        <v>51800.3562049417</v>
      </c>
      <c r="E36" s="57" t="n">
        <f aca="false">D47</f>
        <v>53530.6202896271</v>
      </c>
      <c r="F36" s="57" t="n">
        <f aca="false">E47</f>
        <v>55776.6593743125</v>
      </c>
      <c r="G36" s="57" t="n">
        <f aca="false">F47</f>
        <v>58287.1984589979</v>
      </c>
      <c r="H36" s="57" t="n">
        <f aca="false">G47</f>
        <v>61115.1375436834</v>
      </c>
      <c r="I36" s="57" t="n">
        <f aca="false">H47</f>
        <v>63824.0516283688</v>
      </c>
      <c r="J36" s="57" t="n">
        <f aca="false">I47</f>
        <v>66215.5657130542</v>
      </c>
      <c r="K36" s="57" t="n">
        <f aca="false">J47</f>
        <v>68659.9797977397</v>
      </c>
      <c r="L36" s="57" t="n">
        <f aca="false">K47</f>
        <v>71421.7938824251</v>
      </c>
      <c r="M36" s="57" t="n">
        <f aca="false">L47</f>
        <v>74884.5329671105</v>
      </c>
      <c r="N36" s="64" t="n">
        <f aca="false">B36</f>
        <v>48378.9280355708</v>
      </c>
    </row>
    <row r="37" customFormat="false" ht="15" hidden="false" customHeight="true" outlineLevel="0" collapsed="false">
      <c r="A37" s="46" t="s">
        <v>184</v>
      </c>
    </row>
    <row r="38" customFormat="false" ht="15" hidden="false" customHeight="true" outlineLevel="0" collapsed="false">
      <c r="A38" s="8" t="s">
        <v>185</v>
      </c>
      <c r="B38" s="45" t="n">
        <f aca="false">'Revenue Forecast'!AB8*Inputs!$B$12+'Revenue Forecast'!Z8*Inputs!$B$13+'Revenue Forecast'!Y8*Inputs!$B$14</f>
        <v>11951.375</v>
      </c>
      <c r="C38" s="45" t="n">
        <f aca="false">'Revenue Forecast'!AC8*Inputs!$B$12+'Revenue Forecast'!AB8*Inputs!$B$13+'Revenue Forecast'!Z8*Inputs!$B$14</f>
        <v>11497.125</v>
      </c>
      <c r="D38" s="45" t="n">
        <f aca="false">'Revenue Forecast'!AD8*Inputs!$B$12+'Revenue Forecast'!AC8*Inputs!$B$13+'Revenue Forecast'!AB8*Inputs!$B$14</f>
        <v>12167</v>
      </c>
      <c r="E38" s="45" t="n">
        <f aca="false">'Revenue Forecast'!AE8*Inputs!$B$12+'Revenue Forecast'!AD8*Inputs!$B$13+'Revenue Forecast'!AC8*Inputs!$B$14</f>
        <v>12894.375</v>
      </c>
      <c r="F38" s="45" t="n">
        <f aca="false">'Revenue Forecast'!AF8*Inputs!$B$12+'Revenue Forecast'!AE8*Inputs!$B$13+'Revenue Forecast'!AD8*Inputs!$B$14</f>
        <v>13158.875</v>
      </c>
      <c r="G38" s="45" t="n">
        <f aca="false">'Revenue Forecast'!AG8*Inputs!$B$12+'Revenue Forecast'!AF8*Inputs!$B$13+'Revenue Forecast'!AE8*Inputs!$B$14</f>
        <v>13687.875</v>
      </c>
      <c r="H38" s="45" t="n">
        <f aca="false">'Revenue Forecast'!AH8*Inputs!$B$12+'Revenue Forecast'!AG8*Inputs!$B$13+'Revenue Forecast'!AF8*Inputs!$B$14</f>
        <v>13357.25</v>
      </c>
      <c r="I38" s="45" t="n">
        <f aca="false">'Revenue Forecast'!AI8*Inputs!$B$12+'Revenue Forecast'!AH8*Inputs!$B$13+'Revenue Forecast'!AG8*Inputs!$B$14</f>
        <v>12828.25</v>
      </c>
      <c r="J38" s="45" t="n">
        <f aca="false">'Revenue Forecast'!AJ8*Inputs!$B$12+'Revenue Forecast'!AI8*Inputs!$B$13+'Revenue Forecast'!AH8*Inputs!$B$14</f>
        <v>13092.75</v>
      </c>
      <c r="K38" s="45" t="n">
        <f aca="false">'Revenue Forecast'!AK8*Inputs!$B$12+'Revenue Forecast'!AJ8*Inputs!$B$13+'Revenue Forecast'!AI8*Inputs!$B$14</f>
        <v>13621.75</v>
      </c>
      <c r="L38" s="45" t="n">
        <f aca="false">'Revenue Forecast'!AL8*Inputs!$B$12+'Revenue Forecast'!AK8*Inputs!$B$13+'Revenue Forecast'!AJ8*Inputs!$B$14</f>
        <v>14745.875</v>
      </c>
      <c r="M38" s="45" t="n">
        <f aca="false">'Revenue Forecast'!AM8*Inputs!$B$12+'Revenue Forecast'!AL8*Inputs!$B$13+'Revenue Forecast'!AK8*Inputs!$B$14</f>
        <v>15539.375</v>
      </c>
      <c r="N38" s="51" t="n">
        <f aca="false">SUM(B38:M38)</f>
        <v>158541.875</v>
      </c>
    </row>
    <row r="39" customFormat="false" ht="15" hidden="false" customHeight="true" outlineLevel="0" collapsed="false">
      <c r="A39" s="8" t="s">
        <v>186</v>
      </c>
      <c r="B39" s="57" t="n">
        <v>0</v>
      </c>
      <c r="C39" s="57" t="n">
        <v>0</v>
      </c>
      <c r="D39" s="57" t="n">
        <v>0</v>
      </c>
      <c r="E39" s="57" t="n">
        <v>0</v>
      </c>
      <c r="F39" s="57" t="n">
        <v>0</v>
      </c>
      <c r="G39" s="57" t="n">
        <v>0</v>
      </c>
      <c r="H39" s="57" t="n">
        <v>0</v>
      </c>
      <c r="I39" s="57" t="n">
        <v>0</v>
      </c>
      <c r="J39" s="57" t="n">
        <v>0</v>
      </c>
      <c r="K39" s="57" t="n">
        <v>0</v>
      </c>
      <c r="L39" s="57" t="n">
        <v>0</v>
      </c>
      <c r="M39" s="57" t="n">
        <v>0</v>
      </c>
      <c r="N39" s="51" t="n">
        <f aca="false">SUM(B39:M39)</f>
        <v>0</v>
      </c>
    </row>
    <row r="40" customFormat="false" ht="15" hidden="false" customHeight="true" outlineLevel="0" collapsed="false">
      <c r="A40" s="46" t="s">
        <v>187</v>
      </c>
      <c r="B40" s="48" t="n">
        <f aca="false">SUM(B38:B39)</f>
        <v>11951.375</v>
      </c>
      <c r="C40" s="48" t="n">
        <f aca="false">SUM(C38:C39)</f>
        <v>11497.125</v>
      </c>
      <c r="D40" s="48" t="n">
        <f aca="false">SUM(D38:D39)</f>
        <v>12167</v>
      </c>
      <c r="E40" s="48" t="n">
        <f aca="false">SUM(E38:E39)</f>
        <v>12894.375</v>
      </c>
      <c r="F40" s="48" t="n">
        <f aca="false">SUM(F38:F39)</f>
        <v>13158.875</v>
      </c>
      <c r="G40" s="48" t="n">
        <f aca="false">SUM(G38:G39)</f>
        <v>13687.875</v>
      </c>
      <c r="H40" s="48" t="n">
        <f aca="false">SUM(H38:H39)</f>
        <v>13357.25</v>
      </c>
      <c r="I40" s="48" t="n">
        <f aca="false">SUM(I38:I39)</f>
        <v>12828.25</v>
      </c>
      <c r="J40" s="48" t="n">
        <f aca="false">SUM(J38:J39)</f>
        <v>13092.75</v>
      </c>
      <c r="K40" s="48" t="n">
        <f aca="false">SUM(K38:K39)</f>
        <v>13621.75</v>
      </c>
      <c r="L40" s="48" t="n">
        <f aca="false">SUM(L38:L39)</f>
        <v>14745.875</v>
      </c>
      <c r="M40" s="48" t="n">
        <f aca="false">SUM(M38:M39)</f>
        <v>15539.375</v>
      </c>
      <c r="N40" s="51" t="n">
        <f aca="false">SUM(B40:M40)</f>
        <v>158541.875</v>
      </c>
    </row>
    <row r="41" customFormat="false" ht="15" hidden="false" customHeight="true" outlineLevel="0" collapsed="false">
      <c r="A41" s="46" t="s">
        <v>188</v>
      </c>
    </row>
    <row r="42" customFormat="false" ht="15" hidden="false" customHeight="true" outlineLevel="0" collapsed="false">
      <c r="A42" s="8" t="s">
        <v>189</v>
      </c>
      <c r="B42" s="57" t="n">
        <v>0</v>
      </c>
      <c r="C42" s="57" t="n">
        <v>0</v>
      </c>
      <c r="D42" s="57" t="n">
        <v>0</v>
      </c>
      <c r="E42" s="57" t="n">
        <v>0</v>
      </c>
      <c r="F42" s="57" t="n">
        <v>0</v>
      </c>
      <c r="G42" s="57" t="n">
        <v>0</v>
      </c>
      <c r="H42" s="57" t="n">
        <v>0</v>
      </c>
      <c r="I42" s="57" t="n">
        <v>0</v>
      </c>
      <c r="J42" s="57" t="n">
        <v>0</v>
      </c>
      <c r="K42" s="57" t="n">
        <v>0</v>
      </c>
      <c r="L42" s="57" t="n">
        <v>0</v>
      </c>
      <c r="M42" s="57" t="n">
        <v>0</v>
      </c>
      <c r="N42" s="51" t="n">
        <f aca="false">SUM(B42:M42)</f>
        <v>0</v>
      </c>
    </row>
    <row r="43" customFormat="false" ht="15" hidden="false" customHeight="true" outlineLevel="0" collapsed="false">
      <c r="A43" s="8" t="s">
        <v>190</v>
      </c>
      <c r="B43" s="45" t="n">
        <f aca="false">'Expense Forecast'!AB4</f>
        <v>6416.33591531457</v>
      </c>
      <c r="C43" s="45" t="n">
        <f aca="false">'Expense Forecast'!AC4</f>
        <v>6416.33591531457</v>
      </c>
      <c r="D43" s="45" t="n">
        <f aca="false">'Expense Forecast'!AD4</f>
        <v>6416.33591531457</v>
      </c>
      <c r="E43" s="45" t="n">
        <f aca="false">'Expense Forecast'!AE4</f>
        <v>6416.33591531457</v>
      </c>
      <c r="F43" s="45" t="n">
        <f aca="false">'Expense Forecast'!AF4</f>
        <v>6416.33591531457</v>
      </c>
      <c r="G43" s="45" t="n">
        <f aca="false">'Expense Forecast'!AG4</f>
        <v>6416.33591531457</v>
      </c>
      <c r="H43" s="45" t="n">
        <f aca="false">'Expense Forecast'!AH4</f>
        <v>6416.33591531457</v>
      </c>
      <c r="I43" s="45" t="n">
        <f aca="false">'Expense Forecast'!AI4</f>
        <v>6416.33591531457</v>
      </c>
      <c r="J43" s="45" t="n">
        <f aca="false">'Expense Forecast'!AJ4</f>
        <v>6416.33591531457</v>
      </c>
      <c r="K43" s="45" t="n">
        <f aca="false">'Expense Forecast'!AK4</f>
        <v>6416.33591531457</v>
      </c>
      <c r="L43" s="45" t="n">
        <f aca="false">'Expense Forecast'!AL4</f>
        <v>6416.33591531457</v>
      </c>
      <c r="M43" s="45" t="n">
        <f aca="false">'Expense Forecast'!AM4</f>
        <v>6416.33591531457</v>
      </c>
      <c r="N43" s="51" t="n">
        <f aca="false">SUM(B43:M43)</f>
        <v>76996.0309837748</v>
      </c>
    </row>
    <row r="44" customFormat="false" ht="15" hidden="false" customHeight="true" outlineLevel="0" collapsed="false">
      <c r="A44" s="8" t="s">
        <v>191</v>
      </c>
      <c r="B44" s="45" t="n">
        <f aca="false">'Expense Forecast'!AB5</f>
        <v>3597.2</v>
      </c>
      <c r="C44" s="45" t="n">
        <f aca="false">'Expense Forecast'!AC5</f>
        <v>3597.2</v>
      </c>
      <c r="D44" s="45" t="n">
        <f aca="false">'Expense Forecast'!AD5</f>
        <v>4020.4</v>
      </c>
      <c r="E44" s="45" t="n">
        <f aca="false">'Expense Forecast'!AE5</f>
        <v>4232</v>
      </c>
      <c r="F44" s="45" t="n">
        <f aca="false">'Expense Forecast'!AF5</f>
        <v>4232</v>
      </c>
      <c r="G44" s="45" t="n">
        <f aca="false">'Expense Forecast'!AG5</f>
        <v>4443.6</v>
      </c>
      <c r="H44" s="45" t="n">
        <f aca="false">'Expense Forecast'!AH5</f>
        <v>4232</v>
      </c>
      <c r="I44" s="45" t="n">
        <f aca="false">'Expense Forecast'!AI5</f>
        <v>4020.4</v>
      </c>
      <c r="J44" s="45" t="n">
        <f aca="false">'Expense Forecast'!AJ5</f>
        <v>4232</v>
      </c>
      <c r="K44" s="45" t="n">
        <f aca="false">'Expense Forecast'!AK5</f>
        <v>4443.6</v>
      </c>
      <c r="L44" s="45" t="n">
        <f aca="false">'Expense Forecast'!AL5</f>
        <v>4866.8</v>
      </c>
      <c r="M44" s="45" t="n">
        <f aca="false">'Expense Forecast'!AM5</f>
        <v>5078.4</v>
      </c>
      <c r="N44" s="51" t="n">
        <f aca="false">SUM(B44:M44)</f>
        <v>50995.6</v>
      </c>
    </row>
    <row r="45" customFormat="false" ht="15" hidden="false" customHeight="true" outlineLevel="0" collapsed="false">
      <c r="A45" s="46" t="s">
        <v>192</v>
      </c>
      <c r="B45" s="48" t="n">
        <f aca="false">SUM(B42:B44)</f>
        <v>10013.5359153146</v>
      </c>
      <c r="C45" s="48" t="n">
        <f aca="false">SUM(C42:C44)</f>
        <v>10013.5359153146</v>
      </c>
      <c r="D45" s="48" t="n">
        <f aca="false">SUM(D42:D44)</f>
        <v>10436.7359153146</v>
      </c>
      <c r="E45" s="48" t="n">
        <f aca="false">SUM(E42:E44)</f>
        <v>10648.3359153146</v>
      </c>
      <c r="F45" s="48" t="n">
        <f aca="false">SUM(F42:F44)</f>
        <v>10648.3359153146</v>
      </c>
      <c r="G45" s="48" t="n">
        <f aca="false">SUM(G42:G44)</f>
        <v>10859.9359153146</v>
      </c>
      <c r="H45" s="48" t="n">
        <f aca="false">SUM(H42:H44)</f>
        <v>10648.3359153146</v>
      </c>
      <c r="I45" s="48" t="n">
        <f aca="false">SUM(I42:I44)</f>
        <v>10436.7359153146</v>
      </c>
      <c r="J45" s="48" t="n">
        <f aca="false">SUM(J42:J44)</f>
        <v>10648.3359153146</v>
      </c>
      <c r="K45" s="48" t="n">
        <f aca="false">SUM(K42:K44)</f>
        <v>10859.9359153146</v>
      </c>
      <c r="L45" s="48" t="n">
        <f aca="false">SUM(L42:L44)</f>
        <v>11283.1359153146</v>
      </c>
      <c r="M45" s="48" t="n">
        <f aca="false">SUM(M42:M44)</f>
        <v>11494.7359153146</v>
      </c>
      <c r="N45" s="51" t="n">
        <f aca="false">SUM(B45:M45)</f>
        <v>127991.630983775</v>
      </c>
    </row>
    <row r="46" customFormat="false" ht="15" hidden="false" customHeight="true" outlineLevel="0" collapsed="false">
      <c r="A46" s="46" t="s">
        <v>193</v>
      </c>
      <c r="B46" s="52" t="n">
        <f aca="false">B40-B45</f>
        <v>1937.83908468543</v>
      </c>
      <c r="C46" s="52" t="n">
        <f aca="false">C40-C45</f>
        <v>1483.58908468543</v>
      </c>
      <c r="D46" s="52" t="n">
        <f aca="false">D40-D45</f>
        <v>1730.26408468543</v>
      </c>
      <c r="E46" s="52" t="n">
        <f aca="false">E40-E45</f>
        <v>2246.03908468543</v>
      </c>
      <c r="F46" s="52" t="n">
        <f aca="false">F40-F45</f>
        <v>2510.53908468543</v>
      </c>
      <c r="G46" s="52" t="n">
        <f aca="false">G40-G45</f>
        <v>2827.93908468543</v>
      </c>
      <c r="H46" s="52" t="n">
        <f aca="false">H40-H45</f>
        <v>2708.91408468543</v>
      </c>
      <c r="I46" s="52" t="n">
        <f aca="false">I40-I45</f>
        <v>2391.51408468543</v>
      </c>
      <c r="J46" s="52" t="n">
        <f aca="false">J40-J45</f>
        <v>2444.41408468543</v>
      </c>
      <c r="K46" s="52" t="n">
        <f aca="false">K40-K45</f>
        <v>2761.81408468543</v>
      </c>
      <c r="L46" s="52" t="n">
        <f aca="false">L40-L45</f>
        <v>3462.73908468543</v>
      </c>
      <c r="M46" s="52" t="n">
        <f aca="false">M40-M45</f>
        <v>4044.63908468543</v>
      </c>
      <c r="N46" s="51" t="n">
        <f aca="false">SUM(B46:M46)</f>
        <v>30550.2440162252</v>
      </c>
    </row>
    <row r="47" customFormat="false" ht="15" hidden="false" customHeight="true" outlineLevel="0" collapsed="false">
      <c r="A47" s="46" t="s">
        <v>194</v>
      </c>
      <c r="B47" s="51" t="n">
        <f aca="false">B36+B46</f>
        <v>50316.7671202562</v>
      </c>
      <c r="C47" s="51" t="n">
        <f aca="false">C36+C46</f>
        <v>51800.3562049417</v>
      </c>
      <c r="D47" s="51" t="n">
        <f aca="false">D36+D46</f>
        <v>53530.6202896271</v>
      </c>
      <c r="E47" s="51" t="n">
        <f aca="false">E36+E46</f>
        <v>55776.6593743125</v>
      </c>
      <c r="F47" s="51" t="n">
        <f aca="false">F36+F46</f>
        <v>58287.1984589979</v>
      </c>
      <c r="G47" s="51" t="n">
        <f aca="false">G36+G46</f>
        <v>61115.1375436834</v>
      </c>
      <c r="H47" s="51" t="n">
        <f aca="false">H36+H46</f>
        <v>63824.0516283688</v>
      </c>
      <c r="I47" s="51" t="n">
        <f aca="false">I36+I46</f>
        <v>66215.5657130542</v>
      </c>
      <c r="J47" s="51" t="n">
        <f aca="false">J36+J46</f>
        <v>68659.9797977397</v>
      </c>
      <c r="K47" s="51" t="n">
        <f aca="false">K36+K46</f>
        <v>71421.7938824251</v>
      </c>
      <c r="L47" s="51" t="n">
        <f aca="false">L36+L46</f>
        <v>74884.5329671105</v>
      </c>
      <c r="M47" s="51" t="n">
        <f aca="false">M36+M46</f>
        <v>78929.172051796</v>
      </c>
      <c r="N47" s="51" t="n">
        <f aca="false">M47</f>
        <v>78929.172051796</v>
      </c>
    </row>
    <row r="49" customFormat="false" ht="19.5" hidden="false" customHeight="true" outlineLevel="0" collapsed="false">
      <c r="A49" s="12" t="s">
        <v>199</v>
      </c>
      <c r="B49" s="12"/>
      <c r="C49" s="12"/>
      <c r="D49" s="12"/>
      <c r="E49" s="12"/>
      <c r="F49" s="12"/>
      <c r="G49" s="12"/>
      <c r="H49" s="12"/>
      <c r="I49" s="12"/>
      <c r="J49" s="12"/>
      <c r="K49" s="12"/>
      <c r="L49" s="12"/>
      <c r="M49" s="12"/>
      <c r="N49" s="12"/>
    </row>
    <row r="50" customFormat="false" ht="15" hidden="false" customHeight="true" outlineLevel="0" collapsed="false">
      <c r="A50" s="17" t="s">
        <v>200</v>
      </c>
      <c r="B50" s="30" t="n">
        <f aca="false">N6</f>
        <v>20000</v>
      </c>
    </row>
    <row r="51" customFormat="false" ht="15" hidden="false" customHeight="true" outlineLevel="0" collapsed="false">
      <c r="A51" s="17" t="s">
        <v>201</v>
      </c>
      <c r="B51" s="30" t="n">
        <f aca="false">SUM(N10,N25,N40)</f>
        <v>427154.375</v>
      </c>
    </row>
    <row r="52" customFormat="false" ht="15" hidden="false" customHeight="true" outlineLevel="0" collapsed="false">
      <c r="A52" s="17" t="s">
        <v>202</v>
      </c>
      <c r="B52" s="30" t="n">
        <f aca="false">SUM(N15,N30,N45)</f>
        <v>368225.202948204</v>
      </c>
    </row>
    <row r="53" customFormat="false" ht="15" hidden="false" customHeight="true" outlineLevel="0" collapsed="false">
      <c r="A53" s="17" t="s">
        <v>203</v>
      </c>
      <c r="B53" s="30" t="n">
        <f aca="false">SUM(N16,N31,N46)</f>
        <v>58929.172051796</v>
      </c>
    </row>
    <row r="54" customFormat="false" ht="15" hidden="false" customHeight="true" outlineLevel="0" collapsed="false">
      <c r="A54" s="17" t="s">
        <v>204</v>
      </c>
      <c r="B54" s="30" t="n">
        <f aca="false">N47</f>
        <v>78929.172051796</v>
      </c>
    </row>
    <row r="56" customFormat="false" ht="25.5" hidden="false" customHeight="true" outlineLevel="0" collapsed="false">
      <c r="A56" s="11" t="s">
        <v>205</v>
      </c>
      <c r="B56" s="11"/>
      <c r="C56" s="11"/>
      <c r="D56" s="11"/>
      <c r="E56" s="11"/>
      <c r="F56" s="11"/>
      <c r="G56" s="11"/>
      <c r="H56" s="11"/>
      <c r="I56" s="11"/>
      <c r="J56" s="11"/>
      <c r="K56" s="11"/>
      <c r="L56" s="11"/>
      <c r="M56" s="11"/>
      <c r="N56" s="11"/>
    </row>
    <row r="58" customFormat="false" ht="15" hidden="false" customHeight="true" outlineLevel="0" collapsed="false">
      <c r="A58" s="35" t="s">
        <v>206</v>
      </c>
      <c r="B58" s="65" t="n">
        <f aca="false">B17</f>
        <v>22181.9880145965</v>
      </c>
      <c r="C58" s="65" t="n">
        <f aca="false">C17</f>
        <v>21063.976029193</v>
      </c>
      <c r="D58" s="65" t="n">
        <f aca="false">D17</f>
        <v>21175.9640437895</v>
      </c>
      <c r="E58" s="65" t="n">
        <f aca="false">E17</f>
        <v>21677.952058386</v>
      </c>
      <c r="F58" s="65" t="n">
        <f aca="false">F17</f>
        <v>22379.9400729825</v>
      </c>
      <c r="G58" s="65" t="n">
        <f aca="false">G17</f>
        <v>23321.928087579</v>
      </c>
      <c r="H58" s="65" t="n">
        <f aca="false">H17</f>
        <v>24173.9161021755</v>
      </c>
      <c r="I58" s="65" t="n">
        <f aca="false">I17</f>
        <v>24785.904116772</v>
      </c>
      <c r="J58" s="65" t="n">
        <f aca="false">J17</f>
        <v>25437.8921313685</v>
      </c>
      <c r="K58" s="65" t="n">
        <f aca="false">K17</f>
        <v>26329.880145965</v>
      </c>
      <c r="L58" s="65" t="n">
        <f aca="false">L17</f>
        <v>27751.8681605615</v>
      </c>
      <c r="M58" s="65" t="n">
        <f aca="false">M17</f>
        <v>29613.856175158</v>
      </c>
      <c r="N58" s="65" t="n">
        <f aca="false">B32</f>
        <v>30648.9038301924</v>
      </c>
      <c r="O58" s="65" t="n">
        <f aca="false">C32</f>
        <v>31288.9514852268</v>
      </c>
      <c r="P58" s="65" t="n">
        <f aca="false">D32</f>
        <v>32143.4991402612</v>
      </c>
      <c r="Q58" s="65" t="n">
        <f aca="false">E32</f>
        <v>33446.5467952956</v>
      </c>
      <c r="R58" s="65" t="n">
        <f aca="false">F32</f>
        <v>34979.59445033</v>
      </c>
      <c r="S58" s="65" t="n">
        <f aca="false">G32</f>
        <v>36788.6421053644</v>
      </c>
      <c r="T58" s="65" t="n">
        <f aca="false">H32</f>
        <v>38494.1897603988</v>
      </c>
      <c r="U58" s="65" t="n">
        <f aca="false">I32</f>
        <v>39923.7374154332</v>
      </c>
      <c r="V58" s="65" t="n">
        <f aca="false">J32</f>
        <v>41399.2850704676</v>
      </c>
      <c r="W58" s="65" t="n">
        <f aca="false">K32</f>
        <v>43150.832725502</v>
      </c>
      <c r="X58" s="65" t="n">
        <f aca="false">L32</f>
        <v>45511.8803805364</v>
      </c>
      <c r="Y58" s="65" t="n">
        <f aca="false">M32</f>
        <v>48378.9280355708</v>
      </c>
      <c r="Z58" s="65" t="n">
        <f aca="false">B47</f>
        <v>50316.7671202562</v>
      </c>
      <c r="AA58" s="65" t="n">
        <f aca="false">C47</f>
        <v>51800.3562049417</v>
      </c>
      <c r="AB58" s="65" t="n">
        <f aca="false">D47</f>
        <v>53530.6202896271</v>
      </c>
      <c r="AC58" s="65" t="n">
        <f aca="false">E47</f>
        <v>55776.6593743125</v>
      </c>
      <c r="AD58" s="65" t="n">
        <f aca="false">F47</f>
        <v>58287.1984589979</v>
      </c>
      <c r="AE58" s="65" t="n">
        <f aca="false">G47</f>
        <v>61115.1375436834</v>
      </c>
      <c r="AF58" s="65" t="n">
        <f aca="false">H47</f>
        <v>63824.0516283688</v>
      </c>
      <c r="AG58" s="65" t="n">
        <f aca="false">I47</f>
        <v>66215.5657130542</v>
      </c>
      <c r="AH58" s="65" t="n">
        <f aca="false">J47</f>
        <v>68659.9797977397</v>
      </c>
      <c r="AI58" s="65" t="n">
        <f aca="false">K47</f>
        <v>71421.7938824251</v>
      </c>
      <c r="AJ58" s="65" t="n">
        <f aca="false">L47</f>
        <v>74884.5329671105</v>
      </c>
      <c r="AK58" s="65" t="n">
        <f aca="false">M47</f>
        <v>78929.172051796</v>
      </c>
    </row>
  </sheetData>
  <mergeCells count="7">
    <mergeCell ref="A1:N1"/>
    <mergeCell ref="A2:N2"/>
    <mergeCell ref="A4:N4"/>
    <mergeCell ref="A19:N19"/>
    <mergeCell ref="A34:N34"/>
    <mergeCell ref="A49:N49"/>
    <mergeCell ref="A56:N56"/>
  </mergeCells>
  <conditionalFormatting sqref="B17:N17">
    <cfRule type="cellIs" priority="2" operator="lessThan" aboveAverage="0" equalAverage="0" bottom="0" percent="0" rank="0" text="" dxfId="0">
      <formula>0</formula>
    </cfRule>
  </conditionalFormatting>
  <conditionalFormatting sqref="B32:N32">
    <cfRule type="cellIs" priority="3" operator="lessThan" aboveAverage="0" equalAverage="0" bottom="0" percent="0" rank="0" text="" dxfId="0">
      <formula>0</formula>
    </cfRule>
  </conditionalFormatting>
  <conditionalFormatting sqref="B47:N47">
    <cfRule type="cellIs" priority="4" operator="lessThan" aboveAverage="0" equalAverage="0" bottom="0" percent="0" rank="0" text="" dxfId="0">
      <formula>0</formula>
    </cfRule>
  </conditionalFormatting>
  <printOptions headings="false" gridLines="false" gridLinesSet="true" horizontalCentered="false" verticalCentered="false"/>
  <pageMargins left="0.3" right="0.3" top="0.5" bottom="0.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4" min="2" style="1" width="18"/>
    <col collapsed="false" customWidth="true" hidden="false" outlineLevel="0" max="5" min="5" style="1" width="4"/>
    <col collapsed="false" customWidth="true" hidden="false" outlineLevel="0" max="6" min="6" style="1" width="60"/>
  </cols>
  <sheetData>
    <row r="1" customFormat="false" ht="27.75" hidden="false" customHeight="true" outlineLevel="0" collapsed="false">
      <c r="A1" s="2" t="s">
        <v>207</v>
      </c>
      <c r="B1" s="2"/>
      <c r="C1" s="2"/>
      <c r="D1" s="2"/>
    </row>
    <row r="2" customFormat="false" ht="25.5" hidden="false" customHeight="true" outlineLevel="0" collapsed="false">
      <c r="A2" s="11" t="s">
        <v>208</v>
      </c>
      <c r="B2" s="11"/>
      <c r="C2" s="11"/>
      <c r="D2" s="11"/>
    </row>
    <row r="4" customFormat="false" ht="19.5" hidden="false" customHeight="true" outlineLevel="0" collapsed="false">
      <c r="A4" s="66"/>
      <c r="B4" s="67" t="s">
        <v>209</v>
      </c>
      <c r="C4" s="68" t="s">
        <v>210</v>
      </c>
      <c r="D4" s="69" t="s">
        <v>211</v>
      </c>
    </row>
    <row r="6" customFormat="false" ht="19.5" hidden="false" customHeight="true" outlineLevel="0" collapsed="false">
      <c r="A6" s="12" t="s">
        <v>212</v>
      </c>
      <c r="B6" s="12"/>
      <c r="C6" s="12"/>
      <c r="D6" s="12"/>
    </row>
    <row r="7" customFormat="false" ht="15" hidden="false" customHeight="true" outlineLevel="0" collapsed="false">
      <c r="A7" s="8" t="s">
        <v>213</v>
      </c>
      <c r="B7" s="70" t="n">
        <f aca="false">C7*(1+Inputs!$B$69)</f>
        <v>90375</v>
      </c>
      <c r="C7" s="71" t="n">
        <f aca="false">'Income Statement'!N4</f>
        <v>120500</v>
      </c>
      <c r="D7" s="70" t="n">
        <f aca="false">C7*(1+Inputs!$B$66)</f>
        <v>144600</v>
      </c>
    </row>
    <row r="8" customFormat="false" ht="15" hidden="false" customHeight="true" outlineLevel="0" collapsed="false">
      <c r="A8" s="8" t="s">
        <v>214</v>
      </c>
      <c r="B8" s="70" t="n">
        <f aca="false">C8*(1+Inputs!$B$69)</f>
        <v>103931.25</v>
      </c>
      <c r="C8" s="71" t="n">
        <f aca="false">'Income Statement'!O4</f>
        <v>138575</v>
      </c>
      <c r="D8" s="70" t="n">
        <f aca="false">C8*(1+Inputs!$B$66)</f>
        <v>166290</v>
      </c>
    </row>
    <row r="9" customFormat="false" ht="15" hidden="false" customHeight="true" outlineLevel="0" collapsed="false">
      <c r="A9" s="8" t="s">
        <v>215</v>
      </c>
      <c r="B9" s="70" t="n">
        <f aca="false">C9*(1+Inputs!$B$69)</f>
        <v>119520.9375</v>
      </c>
      <c r="C9" s="71" t="n">
        <f aca="false">'Income Statement'!P4</f>
        <v>159361.25</v>
      </c>
      <c r="D9" s="70" t="n">
        <f aca="false">C9*(1+Inputs!$B$66)</f>
        <v>191233.5</v>
      </c>
    </row>
    <row r="10" customFormat="false" ht="15" hidden="false" customHeight="true" outlineLevel="0" collapsed="false">
      <c r="A10" s="46" t="s">
        <v>216</v>
      </c>
      <c r="B10" s="72" t="n">
        <f aca="false">C10*(1+Inputs!$B$69)</f>
        <v>313827.1875</v>
      </c>
      <c r="C10" s="72" t="n">
        <f aca="false">'Income Statement'!Q4</f>
        <v>418436.25</v>
      </c>
      <c r="D10" s="72" t="n">
        <f aca="false">C10*(1+Inputs!$B$66)</f>
        <v>502123.5</v>
      </c>
    </row>
    <row r="12" customFormat="false" ht="19.5" hidden="false" customHeight="true" outlineLevel="0" collapsed="false">
      <c r="A12" s="12" t="s">
        <v>217</v>
      </c>
      <c r="B12" s="12"/>
      <c r="C12" s="12"/>
      <c r="D12" s="12"/>
    </row>
    <row r="13" customFormat="false" ht="15" hidden="false" customHeight="true" outlineLevel="0" collapsed="false">
      <c r="A13" s="8" t="s">
        <v>218</v>
      </c>
      <c r="B13" s="70" t="n">
        <f aca="false">C13*(1+Inputs!$B$70)</f>
        <v>122249.758207326</v>
      </c>
      <c r="C13" s="71" t="n">
        <f aca="false">'Expense Forecast'!N6</f>
        <v>111136.143824842</v>
      </c>
      <c r="D13" s="70" t="n">
        <f aca="false">C13*(1+Inputs!$B$67)</f>
        <v>105579.3366336</v>
      </c>
    </row>
    <row r="14" customFormat="false" ht="15" hidden="false" customHeight="true" outlineLevel="0" collapsed="false">
      <c r="A14" s="8" t="s">
        <v>219</v>
      </c>
      <c r="B14" s="70" t="n">
        <f aca="false">C14*(1+Inputs!$B$70)</f>
        <v>131007.170953546</v>
      </c>
      <c r="C14" s="71" t="n">
        <f aca="false">'Expense Forecast'!AA6</f>
        <v>119097.428139587</v>
      </c>
      <c r="D14" s="70" t="n">
        <f aca="false">C14*(1+Inputs!$B$67)</f>
        <v>113142.556732608</v>
      </c>
    </row>
    <row r="15" customFormat="false" ht="15" hidden="false" customHeight="true" outlineLevel="0" collapsed="false">
      <c r="A15" s="8" t="s">
        <v>220</v>
      </c>
      <c r="B15" s="70" t="n">
        <f aca="false">C15*(1+Inputs!$B$70)</f>
        <v>140790.794082152</v>
      </c>
      <c r="C15" s="71" t="n">
        <f aca="false">'Expense Forecast'!AN6</f>
        <v>127991.630983775</v>
      </c>
      <c r="D15" s="70" t="n">
        <f aca="false">C15*(1+Inputs!$B$67)</f>
        <v>121592.049434586</v>
      </c>
    </row>
    <row r="16" customFormat="false" ht="15" hidden="false" customHeight="true" outlineLevel="0" collapsed="false">
      <c r="A16" s="46" t="s">
        <v>221</v>
      </c>
      <c r="B16" s="72" t="n">
        <f aca="false">C16*(1+Inputs!$B$70)</f>
        <v>394047.723243024</v>
      </c>
      <c r="C16" s="72" t="n">
        <f aca="false">'Expense Forecast'!AO6</f>
        <v>358225.202948204</v>
      </c>
      <c r="D16" s="72" t="n">
        <f aca="false">C16*(1+Inputs!$B$67)</f>
        <v>340313.942800794</v>
      </c>
    </row>
    <row r="18" customFormat="false" ht="19.5" hidden="false" customHeight="true" outlineLevel="0" collapsed="false">
      <c r="A18" s="12" t="s">
        <v>222</v>
      </c>
      <c r="B18" s="12"/>
      <c r="C18" s="12"/>
      <c r="D18" s="12"/>
    </row>
    <row r="19" customFormat="false" ht="15" hidden="false" customHeight="true" outlineLevel="0" collapsed="false">
      <c r="A19" s="8" t="s">
        <v>223</v>
      </c>
      <c r="B19" s="70" t="n">
        <f aca="false">B7-B13</f>
        <v>-31874.7582073262</v>
      </c>
      <c r="C19" s="70" t="n">
        <f aca="false">C7-C13</f>
        <v>9363.85617515804</v>
      </c>
      <c r="D19" s="70" t="n">
        <f aca="false">D7-D13</f>
        <v>39020.6633664001</v>
      </c>
    </row>
    <row r="20" customFormat="false" ht="15" hidden="false" customHeight="true" outlineLevel="0" collapsed="false">
      <c r="A20" s="8" t="s">
        <v>224</v>
      </c>
      <c r="B20" s="70" t="n">
        <f aca="false">B8-B14</f>
        <v>-27075.920953546</v>
      </c>
      <c r="C20" s="70" t="n">
        <f aca="false">C8-C14</f>
        <v>19477.5718604128</v>
      </c>
      <c r="D20" s="70" t="n">
        <f aca="false">D8-D14</f>
        <v>53147.4432673921</v>
      </c>
    </row>
    <row r="21" customFormat="false" ht="15" hidden="false" customHeight="true" outlineLevel="0" collapsed="false">
      <c r="A21" s="8" t="s">
        <v>225</v>
      </c>
      <c r="B21" s="70" t="n">
        <f aca="false">B9-B15</f>
        <v>-21269.8565821523</v>
      </c>
      <c r="C21" s="70" t="n">
        <f aca="false">C9-C15</f>
        <v>31369.6190162252</v>
      </c>
      <c r="D21" s="70" t="n">
        <f aca="false">D9-D15</f>
        <v>69641.4505654139</v>
      </c>
    </row>
    <row r="22" customFormat="false" ht="15" hidden="false" customHeight="true" outlineLevel="0" collapsed="false">
      <c r="A22" s="46" t="s">
        <v>226</v>
      </c>
      <c r="B22" s="52" t="n">
        <f aca="false">B10-B16</f>
        <v>-80220.5357430245</v>
      </c>
      <c r="C22" s="52" t="n">
        <f aca="false">C10-C16</f>
        <v>60211.0470517959</v>
      </c>
      <c r="D22" s="52" t="n">
        <f aca="false">D10-D16</f>
        <v>161809.557199206</v>
      </c>
    </row>
    <row r="24" customFormat="false" ht="19.5" hidden="false" customHeight="true" outlineLevel="0" collapsed="false">
      <c r="A24" s="12" t="s">
        <v>227</v>
      </c>
      <c r="B24" s="12"/>
      <c r="C24" s="12"/>
      <c r="D24" s="12"/>
    </row>
    <row r="25" customFormat="false" ht="15" hidden="false" customHeight="true" outlineLevel="0" collapsed="false">
      <c r="A25" s="46" t="s">
        <v>228</v>
      </c>
      <c r="B25" s="73" t="n">
        <f aca="false">B22-C22+C25</f>
        <v>-61502.4107430245</v>
      </c>
      <c r="C25" s="74" t="n">
        <f aca="false">'Cash Flow Statement'!N47</f>
        <v>78929.172051796</v>
      </c>
      <c r="D25" s="75" t="n">
        <f aca="false">D22-C22+C25</f>
        <v>180527.682199206</v>
      </c>
    </row>
    <row r="28" customFormat="false" ht="49.5" hidden="false" customHeight="true" outlineLevel="0" collapsed="false">
      <c r="A28" s="11" t="s">
        <v>229</v>
      </c>
      <c r="B28" s="11"/>
      <c r="C28" s="11"/>
      <c r="D28" s="11"/>
    </row>
  </sheetData>
  <mergeCells count="7">
    <mergeCell ref="A1:D1"/>
    <mergeCell ref="A2:D2"/>
    <mergeCell ref="A6:D6"/>
    <mergeCell ref="A12:D12"/>
    <mergeCell ref="A18:D18"/>
    <mergeCell ref="A24:D24"/>
    <mergeCell ref="A28:D28"/>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2"/>
    <col collapsed="false" customWidth="true" hidden="false" outlineLevel="0" max="2" min="2" style="1" width="16"/>
    <col collapsed="false" customWidth="true" hidden="false" outlineLevel="0" max="3" min="3" style="1" width="14"/>
    <col collapsed="false" customWidth="true" hidden="false" outlineLevel="0" max="4" min="4" style="1" width="32"/>
    <col collapsed="false" customWidth="true" hidden="false" outlineLevel="0" max="5" min="5" style="1" width="20"/>
    <col collapsed="false" customWidth="true" hidden="false" outlineLevel="0" max="6" min="6" style="1" width="16"/>
  </cols>
  <sheetData>
    <row r="1" customFormat="false" ht="27.75" hidden="false" customHeight="true" outlineLevel="0" collapsed="false">
      <c r="A1" s="2" t="s">
        <v>230</v>
      </c>
      <c r="B1" s="2"/>
      <c r="C1" s="2"/>
      <c r="D1" s="2"/>
      <c r="E1" s="2"/>
    </row>
    <row r="2" customFormat="false" ht="25.5" hidden="false" customHeight="true" outlineLevel="0" collapsed="false">
      <c r="A2" s="11" t="s">
        <v>231</v>
      </c>
      <c r="B2" s="11"/>
      <c r="C2" s="11"/>
      <c r="D2" s="11"/>
      <c r="E2" s="11"/>
    </row>
    <row r="4" customFormat="false" ht="19.5" hidden="false" customHeight="true" outlineLevel="0" collapsed="false">
      <c r="A4" s="12" t="s">
        <v>199</v>
      </c>
      <c r="B4" s="12"/>
      <c r="D4" s="12" t="s">
        <v>232</v>
      </c>
      <c r="E4" s="12"/>
    </row>
    <row r="5" customFormat="false" ht="15.75" hidden="false" customHeight="true" outlineLevel="0" collapsed="false">
      <c r="A5" s="17" t="s">
        <v>216</v>
      </c>
      <c r="B5" s="76" t="n">
        <f aca="false">'Income Statement'!Q4</f>
        <v>418436.25</v>
      </c>
      <c r="D5" s="17" t="s">
        <v>233</v>
      </c>
      <c r="E5" s="76" t="n">
        <f aca="false">Inputs!$B$41</f>
        <v>20000</v>
      </c>
    </row>
    <row r="6" customFormat="false" ht="15.75" hidden="false" customHeight="true" outlineLevel="0" collapsed="false">
      <c r="A6" s="17" t="s">
        <v>221</v>
      </c>
      <c r="B6" s="76" t="n">
        <f aca="false">'Expense Forecast'!AO6</f>
        <v>358225.202948204</v>
      </c>
      <c r="D6" s="17" t="s">
        <v>228</v>
      </c>
      <c r="E6" s="76" t="n">
        <f aca="false">'Cash Flow Statement'!N47</f>
        <v>78929.172051796</v>
      </c>
    </row>
    <row r="7" customFormat="false" ht="15.75" hidden="false" customHeight="true" outlineLevel="0" collapsed="false">
      <c r="A7" s="17" t="s">
        <v>234</v>
      </c>
      <c r="B7" s="76" t="n">
        <f aca="false">'Income Statement'!Q8</f>
        <v>60211.047051796</v>
      </c>
      <c r="D7" s="17" t="s">
        <v>235</v>
      </c>
      <c r="E7" s="76" t="n">
        <f aca="false">MIN('Cash Flow Statement'!B17:M17,'Cash Flow Statement'!B32:M32,'Cash Flow Statement'!B47:M47)</f>
        <v>21063.976029193</v>
      </c>
    </row>
    <row r="8" customFormat="false" ht="15.75" hidden="false" customHeight="true" outlineLevel="0" collapsed="false">
      <c r="A8" s="17" t="s">
        <v>236</v>
      </c>
      <c r="B8" s="77" t="n">
        <f aca="false">'Income Statement'!Q15</f>
        <v>0.143895389206351</v>
      </c>
      <c r="D8" s="17" t="s">
        <v>237</v>
      </c>
      <c r="E8" s="78" t="str">
        <f aca="false">IF(MIN('Cash Flow Statement'!B17:M17)=$E$7,"Month "&amp;MATCH($E$7,'Cash Flow Statement'!B17:M17,0)&amp;" (Yr 1)",IF(MIN('Cash Flow Statement'!B32:M32)=$E$7,"Month "&amp;MATCH($E$7,'Cash Flow Statement'!B32:M32,0)&amp;" (Yr 2)","Month "&amp;MATCH($E$7,'Cash Flow Statement'!B47:M47,0)&amp;" (Yr 3)"))</f>
        <v>Month 2 (Yr 1)</v>
      </c>
    </row>
    <row r="10" customFormat="false" ht="19.5" hidden="false" customHeight="true" outlineLevel="0" collapsed="false">
      <c r="A10" s="12" t="s">
        <v>238</v>
      </c>
      <c r="B10" s="12"/>
      <c r="D10" s="12" t="s">
        <v>239</v>
      </c>
      <c r="E10" s="12"/>
    </row>
    <row r="11" customFormat="false" ht="15.75" hidden="false" customHeight="true" outlineLevel="0" collapsed="false">
      <c r="A11" s="17" t="s">
        <v>240</v>
      </c>
      <c r="B11" s="79" t="str">
        <f aca="false">IFERROR("Month "&amp;MATCH(1,'Income Statement'!B17:M17,0),IF('Income Statement'!O17=1,"By Year 2",IF('Income Statement'!P17=1,"By Year 3","Not within 3 years")))</f>
        <v>Month 3</v>
      </c>
      <c r="D11" s="17" t="s">
        <v>241</v>
      </c>
      <c r="E11" s="80" t="n">
        <f aca="false">IFERROR(Inputs!$B$41/('Cash Flow Statement'!B15-Inputs!$B$35),"n/a")</f>
        <v>2.28101877977527</v>
      </c>
    </row>
    <row r="12" customFormat="false" ht="15.75" hidden="false" customHeight="true" outlineLevel="0" collapsed="false">
      <c r="A12" s="17" t="s">
        <v>242</v>
      </c>
      <c r="B12" s="81" t="n">
        <f aca="false">Inputs!$B$81</f>
        <v>177.882705453044</v>
      </c>
    </row>
    <row r="13" customFormat="false" ht="15.75" hidden="false" customHeight="true" outlineLevel="0" collapsed="false">
      <c r="A13" s="17" t="s">
        <v>243</v>
      </c>
      <c r="B13" s="82" t="n">
        <f aca="false">Inputs!$B$82</f>
        <v>8894.1352726522</v>
      </c>
    </row>
    <row r="14" customFormat="false" ht="15.75" hidden="false" customHeight="true" outlineLevel="0" collapsed="false"/>
    <row r="15" customFormat="false" ht="15" hidden="false" customHeight="true" outlineLevel="0" collapsed="false">
      <c r="A15" s="12" t="s">
        <v>244</v>
      </c>
      <c r="B15" s="12"/>
      <c r="C15" s="12"/>
      <c r="D15" s="12"/>
      <c r="E15" s="12"/>
    </row>
    <row r="16" customFormat="false" ht="16.15" hidden="false" customHeight="false" outlineLevel="0" collapsed="false">
      <c r="A16" s="25" t="s">
        <v>86</v>
      </c>
      <c r="B16" s="83" t="n">
        <f aca="false">'Scenario Comparison'!B22</f>
        <v>-80220.5357430245</v>
      </c>
      <c r="C16" s="84" t="s">
        <v>245</v>
      </c>
      <c r="D16" s="85" t="n">
        <f aca="false">'Scenario Comparison'!C22</f>
        <v>60211.0470517959</v>
      </c>
      <c r="E16" s="24" t="s">
        <v>83</v>
      </c>
      <c r="F16" s="86" t="n">
        <f aca="false">'Scenario Comparison'!D22</f>
        <v>161809.557199206</v>
      </c>
    </row>
    <row r="17" customFormat="false" ht="39.75" hidden="false" customHeight="true" outlineLevel="0" collapsed="false">
      <c r="A17" s="11" t="s">
        <v>246</v>
      </c>
      <c r="B17" s="11"/>
      <c r="C17" s="11"/>
      <c r="D17" s="11"/>
      <c r="E17" s="11"/>
    </row>
    <row r="19" customFormat="false" ht="23.85" hidden="false" customHeight="true" outlineLevel="0" collapsed="false">
      <c r="A19" s="11" t="s">
        <v>247</v>
      </c>
      <c r="B19" s="11"/>
      <c r="C19" s="11"/>
      <c r="D19" s="11"/>
      <c r="E19" s="11"/>
    </row>
    <row r="36" customFormat="false" ht="15" hidden="false" customHeight="true" outlineLevel="0" collapsed="false"/>
    <row r="38" customFormat="false" ht="15" hidden="false" customHeight="true" outlineLevel="0" collapsed="false">
      <c r="A38" s="11" t="s">
        <v>248</v>
      </c>
      <c r="B38" s="11"/>
      <c r="C38" s="11"/>
      <c r="D38" s="11"/>
      <c r="E38" s="11"/>
    </row>
  </sheetData>
  <mergeCells count="10">
    <mergeCell ref="A1:E1"/>
    <mergeCell ref="A2:E2"/>
    <mergeCell ref="A4:B4"/>
    <mergeCell ref="D4:E4"/>
    <mergeCell ref="A10:B10"/>
    <mergeCell ref="D10:E10"/>
    <mergeCell ref="A15:E15"/>
    <mergeCell ref="A17:E17"/>
    <mergeCell ref="A19:E19"/>
    <mergeCell ref="A38:E38"/>
  </mergeCells>
  <printOptions headings="false" gridLines="false" gridLinesSet="true" horizontalCentered="false" verticalCentered="false"/>
  <pageMargins left="0.3" right="0.3"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2026-09-09T13:41:37Z</dcterms:created>
  <dc:creator>Miami Valley SBDC</dc:creator>
  <dc:description/>
  <dc:language>en-US</dc:language>
  <cp:lastModifiedBy/>
  <dcterms:modified xsi:type="dcterms:W3CDTF">2026-09-21T18:47:25Z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